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c\Progetto di Strutture in zona Sismica Ghersi\Fogli di Calcolo\"/>
    </mc:Choice>
  </mc:AlternateContent>
  <bookViews>
    <workbookView xWindow="0" yWindow="0" windowWidth="19200" windowHeight="7905" tabRatio="775" activeTab="5"/>
  </bookViews>
  <sheets>
    <sheet name="Carichi unitari" sheetId="24" r:id="rId1"/>
    <sheet name="Dati (CD&quot;A&quot;)" sheetId="23" r:id="rId2"/>
    <sheet name="Forze Orizzontali CD&quot;A&quot;" sheetId="20" r:id="rId3"/>
    <sheet name="Campate  CD&quot;A&quot;" sheetId="19" r:id="rId4"/>
    <sheet name=" Pilastri CD&quot;A&quot;" sheetId="22" r:id="rId5"/>
    <sheet name="Dimensionamento CD&quot;A&quot;" sheetId="21" r:id="rId6"/>
  </sheets>
  <externalReferences>
    <externalReference r:id="rId7"/>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2" i="24" l="1"/>
  <c r="Y4" i="22"/>
  <c r="AC8" i="22"/>
  <c r="AG8" i="22" s="1"/>
  <c r="AI8" i="22" s="1"/>
  <c r="AI10" i="22" s="1"/>
  <c r="AF8" i="22"/>
  <c r="AC9" i="22"/>
  <c r="AG9" i="22" s="1"/>
  <c r="AI9" i="22" s="1"/>
  <c r="AF9" i="22"/>
  <c r="AC10" i="22"/>
  <c r="AF10" i="22"/>
  <c r="I7" i="19"/>
  <c r="I12" i="19" l="1"/>
  <c r="D44" i="22"/>
  <c r="O43" i="22"/>
  <c r="N43" i="22"/>
  <c r="J43" i="22"/>
  <c r="I43" i="22"/>
  <c r="E43" i="22"/>
  <c r="D43" i="22"/>
  <c r="E44" i="22"/>
  <c r="E31" i="22"/>
  <c r="D31" i="22"/>
  <c r="J31" i="22"/>
  <c r="I31" i="22"/>
  <c r="O31" i="22"/>
  <c r="N31" i="22"/>
  <c r="T31" i="22"/>
  <c r="S31" i="22"/>
  <c r="Y31" i="22"/>
  <c r="X31" i="22"/>
  <c r="Y19" i="22"/>
  <c r="X19" i="22"/>
  <c r="Y7" i="22"/>
  <c r="X7" i="22"/>
  <c r="T19" i="22"/>
  <c r="S19" i="22"/>
  <c r="O19" i="22"/>
  <c r="N19" i="22"/>
  <c r="J19" i="22"/>
  <c r="I19" i="22"/>
  <c r="E19" i="22"/>
  <c r="D19" i="22"/>
  <c r="T7" i="22"/>
  <c r="S7" i="22"/>
  <c r="O7" i="22"/>
  <c r="N7" i="22"/>
  <c r="J7" i="22"/>
  <c r="I7" i="22"/>
  <c r="E7" i="22"/>
  <c r="D7" i="22"/>
  <c r="O41" i="22"/>
  <c r="N41" i="22"/>
  <c r="O40" i="22"/>
  <c r="N40" i="22"/>
  <c r="J41" i="22"/>
  <c r="I41" i="22"/>
  <c r="J40" i="22"/>
  <c r="I40" i="22"/>
  <c r="E41" i="22"/>
  <c r="D41" i="22"/>
  <c r="E40" i="22"/>
  <c r="D40" i="22"/>
  <c r="E29" i="22"/>
  <c r="D29" i="22"/>
  <c r="E28" i="22"/>
  <c r="D28" i="22"/>
  <c r="J29" i="22"/>
  <c r="I29" i="22"/>
  <c r="J28" i="22"/>
  <c r="I28" i="22"/>
  <c r="O29" i="22"/>
  <c r="N29" i="22"/>
  <c r="O28" i="22"/>
  <c r="N28" i="22"/>
  <c r="T29" i="22"/>
  <c r="S29" i="22"/>
  <c r="T28" i="22"/>
  <c r="S28" i="22"/>
  <c r="Y29" i="22"/>
  <c r="X29" i="22"/>
  <c r="Y28" i="22"/>
  <c r="X28" i="22"/>
  <c r="Y5" i="22"/>
  <c r="X5" i="22"/>
  <c r="X4" i="22"/>
  <c r="Y17" i="22"/>
  <c r="X17" i="22"/>
  <c r="Y16" i="22"/>
  <c r="X16" i="22"/>
  <c r="T17" i="22"/>
  <c r="S17" i="22"/>
  <c r="T16" i="22"/>
  <c r="S16" i="22"/>
  <c r="O17" i="22"/>
  <c r="N17" i="22"/>
  <c r="O16" i="22"/>
  <c r="N16" i="22"/>
  <c r="J17" i="22"/>
  <c r="I17" i="22"/>
  <c r="J16" i="22"/>
  <c r="I16" i="22"/>
  <c r="E17" i="22"/>
  <c r="D17" i="22"/>
  <c r="E16" i="22"/>
  <c r="D16" i="22"/>
  <c r="T5" i="22"/>
  <c r="S5" i="22"/>
  <c r="T4" i="22"/>
  <c r="S4" i="22"/>
  <c r="O5" i="22"/>
  <c r="N5" i="22"/>
  <c r="O4" i="22"/>
  <c r="N4" i="22"/>
  <c r="J5" i="22"/>
  <c r="I5" i="22"/>
  <c r="J4" i="22"/>
  <c r="I4" i="22"/>
  <c r="E5" i="22"/>
  <c r="D5" i="22"/>
  <c r="E4" i="22"/>
  <c r="D4" i="22"/>
  <c r="K28" i="21"/>
  <c r="J28" i="21"/>
  <c r="K27" i="21"/>
  <c r="J27" i="21"/>
  <c r="K26" i="21"/>
  <c r="J26" i="21"/>
  <c r="F28" i="21"/>
  <c r="E28" i="21"/>
  <c r="F27" i="21"/>
  <c r="E27" i="21"/>
  <c r="F26" i="21"/>
  <c r="E26" i="21"/>
  <c r="AF9" i="19" l="1"/>
  <c r="AE9" i="19"/>
  <c r="AF8" i="19"/>
  <c r="AE8" i="19"/>
  <c r="AF7" i="19"/>
  <c r="AE7" i="19"/>
  <c r="AK9" i="19"/>
  <c r="AJ9" i="19"/>
  <c r="AK8" i="19"/>
  <c r="AJ8" i="19"/>
  <c r="AK7" i="19"/>
  <c r="AJ7" i="19"/>
  <c r="AP9" i="19"/>
  <c r="AO9" i="19"/>
  <c r="AP8" i="19"/>
  <c r="AO8" i="19"/>
  <c r="AP7" i="19"/>
  <c r="AO7" i="19"/>
  <c r="AU9" i="19"/>
  <c r="AT9" i="19"/>
  <c r="AU8" i="19"/>
  <c r="AT8" i="19"/>
  <c r="AU7" i="19"/>
  <c r="AT7" i="19"/>
  <c r="AY7" i="19"/>
  <c r="AZ7" i="19"/>
  <c r="AY8" i="19"/>
  <c r="AZ8" i="19"/>
  <c r="AY9" i="19"/>
  <c r="AZ9" i="19"/>
  <c r="BE9" i="19"/>
  <c r="BD9" i="19"/>
  <c r="BE8" i="19"/>
  <c r="BD8" i="19"/>
  <c r="BE7" i="19"/>
  <c r="BD7" i="19"/>
  <c r="BE19" i="19"/>
  <c r="BD19" i="19"/>
  <c r="BE18" i="19"/>
  <c r="BD18" i="19"/>
  <c r="BE17" i="19"/>
  <c r="BD17" i="19"/>
  <c r="AZ19" i="19"/>
  <c r="AY19" i="19"/>
  <c r="AZ18" i="19"/>
  <c r="AY18" i="19"/>
  <c r="AZ17" i="19"/>
  <c r="AY17" i="19"/>
  <c r="AU19" i="19"/>
  <c r="AT19" i="19"/>
  <c r="AU18" i="19"/>
  <c r="AT18" i="19"/>
  <c r="AU17" i="19"/>
  <c r="AT17" i="19"/>
  <c r="AP19" i="19"/>
  <c r="AO19" i="19"/>
  <c r="AP18" i="19"/>
  <c r="AO18" i="19"/>
  <c r="AP17" i="19"/>
  <c r="AO17" i="19"/>
  <c r="AK19" i="19"/>
  <c r="AJ19" i="19"/>
  <c r="AK18" i="19"/>
  <c r="AJ18" i="19"/>
  <c r="AK17" i="19"/>
  <c r="AJ17" i="19"/>
  <c r="AF31" i="19"/>
  <c r="AE31" i="19"/>
  <c r="AF30" i="19"/>
  <c r="AE30" i="19"/>
  <c r="AF29" i="19"/>
  <c r="AE29" i="19"/>
  <c r="E9" i="19"/>
  <c r="D9" i="19"/>
  <c r="E8" i="19"/>
  <c r="D8" i="19"/>
  <c r="E7" i="19"/>
  <c r="D7" i="19"/>
  <c r="J9" i="19"/>
  <c r="I9" i="19"/>
  <c r="J8" i="19"/>
  <c r="I8" i="19"/>
  <c r="J7" i="19"/>
  <c r="O9" i="19"/>
  <c r="N9" i="19"/>
  <c r="O8" i="19"/>
  <c r="N8" i="19"/>
  <c r="O7" i="19"/>
  <c r="N7" i="19"/>
  <c r="T9" i="19"/>
  <c r="S9" i="19"/>
  <c r="T8" i="19"/>
  <c r="S8" i="19"/>
  <c r="T7" i="19"/>
  <c r="S7" i="19"/>
  <c r="Y9" i="19"/>
  <c r="X9" i="19"/>
  <c r="Y8" i="19"/>
  <c r="X8" i="19"/>
  <c r="Y7" i="19"/>
  <c r="X7" i="19"/>
  <c r="Y20" i="19"/>
  <c r="X20" i="19"/>
  <c r="Y19" i="19"/>
  <c r="X19" i="19"/>
  <c r="Y18" i="19"/>
  <c r="X18" i="19"/>
  <c r="Y31" i="19"/>
  <c r="X31" i="19"/>
  <c r="Y30" i="19"/>
  <c r="X30" i="19"/>
  <c r="Y29" i="19"/>
  <c r="X29" i="19"/>
  <c r="T20" i="19"/>
  <c r="S20" i="19"/>
  <c r="T19" i="19"/>
  <c r="S19" i="19"/>
  <c r="T18" i="19"/>
  <c r="S18" i="19"/>
  <c r="O20" i="19"/>
  <c r="N20" i="19"/>
  <c r="O19" i="19"/>
  <c r="N19" i="19"/>
  <c r="O18" i="19"/>
  <c r="N18" i="19"/>
  <c r="J20" i="19"/>
  <c r="I20" i="19"/>
  <c r="J19" i="19"/>
  <c r="I19" i="19"/>
  <c r="J18" i="19"/>
  <c r="I18" i="19"/>
  <c r="E20" i="19"/>
  <c r="D20" i="19"/>
  <c r="E19" i="19"/>
  <c r="D19" i="19"/>
  <c r="E18" i="19"/>
  <c r="D18" i="19"/>
  <c r="T31" i="19"/>
  <c r="S31" i="19"/>
  <c r="T30" i="19"/>
  <c r="S30" i="19"/>
  <c r="T29" i="19"/>
  <c r="S29" i="19"/>
  <c r="O31" i="19"/>
  <c r="N31" i="19"/>
  <c r="O30" i="19"/>
  <c r="N30" i="19"/>
  <c r="O29" i="19"/>
  <c r="N29" i="19"/>
  <c r="J31" i="19"/>
  <c r="I31" i="19"/>
  <c r="J30" i="19"/>
  <c r="I30" i="19"/>
  <c r="J29" i="19"/>
  <c r="I29" i="19"/>
  <c r="E31" i="19"/>
  <c r="D31" i="19"/>
  <c r="E30" i="19"/>
  <c r="D30" i="19"/>
  <c r="E29" i="19"/>
  <c r="D29" i="19"/>
  <c r="N32" i="24"/>
  <c r="P32" i="24" s="1"/>
  <c r="J31" i="24"/>
  <c r="N31" i="24" s="1"/>
  <c r="P31" i="24" s="1"/>
  <c r="J30" i="24"/>
  <c r="N30" i="24" s="1"/>
  <c r="P30" i="24" s="1"/>
  <c r="P33" i="24" s="1"/>
  <c r="P29" i="24"/>
  <c r="N29" i="24"/>
  <c r="M29" i="24"/>
  <c r="O28" i="24"/>
  <c r="O27" i="24"/>
  <c r="O26" i="24"/>
  <c r="O25" i="24"/>
  <c r="F25" i="24"/>
  <c r="C21" i="24"/>
  <c r="F15" i="24" s="1"/>
  <c r="F20" i="24" s="1"/>
  <c r="J28" i="24" s="1"/>
  <c r="F19" i="24"/>
  <c r="F18" i="24"/>
  <c r="F17" i="24"/>
  <c r="F16" i="24"/>
  <c r="K15" i="24"/>
  <c r="H14" i="24"/>
  <c r="H13" i="24"/>
  <c r="H12" i="24"/>
  <c r="F10" i="24"/>
  <c r="K17" i="24" s="1"/>
  <c r="F9" i="24"/>
  <c r="K16" i="24" s="1"/>
  <c r="F8" i="24"/>
  <c r="K7" i="24"/>
  <c r="F7" i="24"/>
  <c r="K14" i="24" s="1"/>
  <c r="K6" i="24"/>
  <c r="K9" i="24" s="1"/>
  <c r="J26" i="24" s="1"/>
  <c r="F6" i="24"/>
  <c r="K13" i="24" s="1"/>
  <c r="K5" i="24"/>
  <c r="F5" i="24"/>
  <c r="F11" i="24" s="1"/>
  <c r="J25" i="24" s="1"/>
  <c r="K11" i="23"/>
  <c r="C18" i="19"/>
  <c r="H18" i="19"/>
  <c r="M18" i="19"/>
  <c r="R18" i="19"/>
  <c r="W18" i="19"/>
  <c r="M20" i="19"/>
  <c r="D23" i="19"/>
  <c r="E23" i="19"/>
  <c r="I23" i="19"/>
  <c r="J23" i="19"/>
  <c r="N23" i="19"/>
  <c r="O23" i="19"/>
  <c r="S23" i="19"/>
  <c r="T23" i="19"/>
  <c r="X23" i="19"/>
  <c r="Y23" i="19"/>
  <c r="C7" i="19"/>
  <c r="H7" i="19"/>
  <c r="M7" i="19"/>
  <c r="R7" i="19"/>
  <c r="W7" i="19"/>
  <c r="D12" i="19"/>
  <c r="E12" i="19"/>
  <c r="J12" i="19"/>
  <c r="N12" i="19"/>
  <c r="O12" i="19"/>
  <c r="S12" i="19"/>
  <c r="T12" i="19"/>
  <c r="X12" i="19"/>
  <c r="Y12" i="19"/>
  <c r="N28" i="24" l="1"/>
  <c r="P28" i="24" s="1"/>
  <c r="M28" i="24"/>
  <c r="N26" i="24"/>
  <c r="P26" i="24" s="1"/>
  <c r="M26" i="24"/>
  <c r="M25" i="24"/>
  <c r="N25" i="24"/>
  <c r="P25" i="24" s="1"/>
  <c r="K12" i="24"/>
  <c r="K18" i="24" s="1"/>
  <c r="J27" i="24" s="1"/>
  <c r="J33" i="24"/>
  <c r="M30" i="24"/>
  <c r="M33" i="24" s="1"/>
  <c r="M31" i="24"/>
  <c r="M32" i="24"/>
  <c r="Y22" i="19"/>
  <c r="Y24" i="19" s="1"/>
  <c r="O22" i="19"/>
  <c r="O24" i="19" s="1"/>
  <c r="D11" i="19"/>
  <c r="D13" i="19" s="1"/>
  <c r="E22" i="19"/>
  <c r="E24" i="19" s="1"/>
  <c r="X11" i="19"/>
  <c r="X13" i="19" s="1"/>
  <c r="T11" i="19"/>
  <c r="T13" i="19" s="1"/>
  <c r="N11" i="19"/>
  <c r="N13" i="19" s="1"/>
  <c r="I11" i="19"/>
  <c r="I13" i="19" s="1"/>
  <c r="Y11" i="19"/>
  <c r="Y13" i="19" s="1"/>
  <c r="S11" i="19"/>
  <c r="S13" i="19" s="1"/>
  <c r="O11" i="19"/>
  <c r="O13" i="19" s="1"/>
  <c r="E11" i="19"/>
  <c r="E13" i="19" s="1"/>
  <c r="N22" i="19"/>
  <c r="N24" i="19" s="1"/>
  <c r="X22" i="19"/>
  <c r="X24" i="19" s="1"/>
  <c r="S22" i="19"/>
  <c r="S24" i="19" s="1"/>
  <c r="J22" i="19"/>
  <c r="J24" i="19" s="1"/>
  <c r="D22" i="19"/>
  <c r="D24" i="19" s="1"/>
  <c r="I22" i="19"/>
  <c r="I24" i="19" s="1"/>
  <c r="J11" i="19"/>
  <c r="J13" i="19" s="1"/>
  <c r="T22" i="19"/>
  <c r="T24" i="19" s="1"/>
  <c r="N27" i="24" l="1"/>
  <c r="P27" i="24" s="1"/>
  <c r="M27" i="24"/>
  <c r="F16" i="20" l="1"/>
  <c r="O44" i="22" l="1"/>
  <c r="J44" i="22"/>
  <c r="Y32" i="22"/>
  <c r="T32" i="22"/>
  <c r="O32" i="22"/>
  <c r="J32" i="22"/>
  <c r="E32" i="22"/>
  <c r="E20" i="22"/>
  <c r="J20" i="22"/>
  <c r="O20" i="22"/>
  <c r="T20" i="22"/>
  <c r="Y20" i="22"/>
  <c r="Y8" i="22"/>
  <c r="T8" i="22"/>
  <c r="O8" i="22"/>
  <c r="J8" i="22"/>
  <c r="M4" i="22"/>
  <c r="M5" i="22"/>
  <c r="E8" i="22"/>
  <c r="H43" i="22" l="1"/>
  <c r="C43" i="22"/>
  <c r="M42" i="22"/>
  <c r="H42" i="22"/>
  <c r="C42" i="22"/>
  <c r="M40" i="22"/>
  <c r="H40" i="22"/>
  <c r="C40" i="22"/>
  <c r="W30" i="22"/>
  <c r="R30" i="22"/>
  <c r="M30" i="22"/>
  <c r="H30" i="22"/>
  <c r="C30" i="22"/>
  <c r="W28" i="22"/>
  <c r="R28" i="22"/>
  <c r="M28" i="22"/>
  <c r="H28" i="22"/>
  <c r="C28" i="22"/>
  <c r="M19" i="22"/>
  <c r="H19" i="22"/>
  <c r="W18" i="22"/>
  <c r="R18" i="22"/>
  <c r="M18" i="22"/>
  <c r="H18" i="22"/>
  <c r="C18" i="22"/>
  <c r="R17" i="22"/>
  <c r="M17" i="22"/>
  <c r="W16" i="22"/>
  <c r="R16" i="22"/>
  <c r="M16" i="22"/>
  <c r="H16" i="22"/>
  <c r="C16" i="22"/>
  <c r="W6" i="22"/>
  <c r="R6" i="22"/>
  <c r="M6" i="22"/>
  <c r="H6" i="22"/>
  <c r="C6" i="22"/>
  <c r="R5" i="22"/>
  <c r="W4" i="22"/>
  <c r="R4" i="22"/>
  <c r="H4" i="22"/>
  <c r="C4" i="22"/>
  <c r="D6" i="22" l="1"/>
  <c r="N30" i="22"/>
  <c r="I18" i="22"/>
  <c r="X6" i="22"/>
  <c r="I42" i="22"/>
  <c r="S30" i="22"/>
  <c r="D18" i="22"/>
  <c r="X18" i="22"/>
  <c r="I6" i="22"/>
  <c r="N42" i="22"/>
  <c r="X30" i="22"/>
  <c r="D30" i="22"/>
  <c r="S18" i="22"/>
  <c r="N6" i="22"/>
  <c r="D42" i="22"/>
  <c r="I30" i="22"/>
  <c r="N18" i="22"/>
  <c r="S6" i="22"/>
  <c r="D8" i="22"/>
  <c r="N44" i="22"/>
  <c r="S32" i="22"/>
  <c r="I32" i="22"/>
  <c r="D20" i="22"/>
  <c r="N20" i="22"/>
  <c r="X20" i="22"/>
  <c r="S8" i="22"/>
  <c r="I8" i="22"/>
  <c r="I44" i="22"/>
  <c r="X32" i="22"/>
  <c r="N32" i="22"/>
  <c r="D32" i="22"/>
  <c r="I20" i="22"/>
  <c r="S20" i="22"/>
  <c r="X8" i="22"/>
  <c r="N8" i="22"/>
  <c r="I22" i="22"/>
  <c r="N46" i="22"/>
  <c r="D10" i="22"/>
  <c r="D22" i="22"/>
  <c r="I10" i="22"/>
  <c r="N34" i="22"/>
  <c r="X10" i="22"/>
  <c r="I46" i="22"/>
  <c r="X22" i="22"/>
  <c r="S34" i="22"/>
  <c r="N10" i="22"/>
  <c r="S22" i="22"/>
  <c r="D34" i="22"/>
  <c r="X34" i="22"/>
  <c r="S10" i="22"/>
  <c r="N22" i="22"/>
  <c r="I34" i="22"/>
  <c r="D46" i="22"/>
  <c r="J46" i="22"/>
  <c r="Y34" i="22"/>
  <c r="O34" i="22"/>
  <c r="E34" i="22"/>
  <c r="J22" i="22"/>
  <c r="T22" i="22"/>
  <c r="Y10" i="22"/>
  <c r="O10" i="22"/>
  <c r="E10" i="22"/>
  <c r="O46" i="22"/>
  <c r="E46" i="22"/>
  <c r="T34" i="22"/>
  <c r="J34" i="22"/>
  <c r="E22" i="22"/>
  <c r="O22" i="22"/>
  <c r="Y22" i="22"/>
  <c r="T10" i="22"/>
  <c r="J10" i="22"/>
  <c r="E6" i="22" l="1"/>
  <c r="E9" i="22" s="1"/>
  <c r="E11" i="22" s="1"/>
  <c r="J42" i="22"/>
  <c r="J45" i="22" s="1"/>
  <c r="J47" i="22" s="1"/>
  <c r="T30" i="22"/>
  <c r="T33" i="22" s="1"/>
  <c r="T35" i="22" s="1"/>
  <c r="E18" i="22"/>
  <c r="E21" i="22" s="1"/>
  <c r="E23" i="22" s="1"/>
  <c r="Y18" i="22"/>
  <c r="Y21" i="22" s="1"/>
  <c r="Y23" i="22" s="1"/>
  <c r="J6" i="22"/>
  <c r="J9" i="22" s="1"/>
  <c r="J11" i="22" s="1"/>
  <c r="O42" i="22"/>
  <c r="O45" i="22" s="1"/>
  <c r="O47" i="22" s="1"/>
  <c r="Y30" i="22"/>
  <c r="Y33" i="22" s="1"/>
  <c r="Y35" i="22" s="1"/>
  <c r="E30" i="22"/>
  <c r="T18" i="22"/>
  <c r="T21" i="22" s="1"/>
  <c r="T23" i="22" s="1"/>
  <c r="O6" i="22"/>
  <c r="O9" i="22" s="1"/>
  <c r="O11" i="22" s="1"/>
  <c r="E42" i="22"/>
  <c r="J30" i="22"/>
  <c r="J33" i="22" s="1"/>
  <c r="J35" i="22" s="1"/>
  <c r="O18" i="22"/>
  <c r="O21" i="22" s="1"/>
  <c r="O23" i="22" s="1"/>
  <c r="T6" i="22"/>
  <c r="O30" i="22"/>
  <c r="O33" i="22" s="1"/>
  <c r="O35" i="22" s="1"/>
  <c r="J18" i="22"/>
  <c r="Y6" i="22"/>
  <c r="Y9" i="22" s="1"/>
  <c r="Y11" i="22" s="1"/>
  <c r="T9" i="22"/>
  <c r="T11" i="22" s="1"/>
  <c r="E45" i="22"/>
  <c r="E47" i="22" s="1"/>
  <c r="J21" i="22"/>
  <c r="J23" i="22" s="1"/>
  <c r="W7" i="21"/>
  <c r="Y5" i="21"/>
  <c r="X7" i="21"/>
  <c r="E33" i="22" l="1"/>
  <c r="E35" i="22" s="1"/>
  <c r="X8" i="21"/>
  <c r="W8" i="21"/>
  <c r="W9" i="21" l="1"/>
  <c r="X9" i="21"/>
  <c r="K11" i="20"/>
  <c r="K10" i="20" s="1"/>
  <c r="K31" i="21"/>
  <c r="J31" i="21"/>
  <c r="F31" i="21"/>
  <c r="E31" i="21"/>
  <c r="K30" i="21"/>
  <c r="K32" i="21" s="1"/>
  <c r="J30" i="21"/>
  <c r="J32" i="21" s="1"/>
  <c r="D26" i="21"/>
  <c r="K12" i="21"/>
  <c r="K11" i="21"/>
  <c r="K10" i="21"/>
  <c r="K9" i="21"/>
  <c r="K8" i="21"/>
  <c r="K7" i="21"/>
  <c r="K6" i="21"/>
  <c r="Q5" i="21"/>
  <c r="P5" i="21"/>
  <c r="H14" i="21" s="1"/>
  <c r="O5" i="21"/>
  <c r="N5" i="21"/>
  <c r="E14" i="21" s="1"/>
  <c r="M5" i="21"/>
  <c r="D14" i="21" s="1"/>
  <c r="L5" i="21"/>
  <c r="C14" i="21" s="1"/>
  <c r="K5" i="21"/>
  <c r="E13" i="20"/>
  <c r="F13" i="20" s="1"/>
  <c r="E12" i="20"/>
  <c r="P9" i="20" s="1"/>
  <c r="P10" i="20"/>
  <c r="R10" i="20" s="1"/>
  <c r="Q9" i="20"/>
  <c r="Q8" i="20"/>
  <c r="Q7" i="20" s="1"/>
  <c r="Q6" i="20" s="1"/>
  <c r="Q5" i="20" s="1"/>
  <c r="K3" i="20"/>
  <c r="BE22" i="19"/>
  <c r="BD22" i="19"/>
  <c r="AZ22" i="19"/>
  <c r="AY22" i="19"/>
  <c r="AU22" i="19"/>
  <c r="AT22" i="19"/>
  <c r="AP22" i="19"/>
  <c r="AO22" i="19"/>
  <c r="AK22" i="19"/>
  <c r="AJ22" i="19"/>
  <c r="AF34" i="19"/>
  <c r="AE34" i="19"/>
  <c r="BE21" i="19"/>
  <c r="BE23" i="19" s="1"/>
  <c r="BD21" i="19"/>
  <c r="BD23" i="19" s="1"/>
  <c r="AZ21" i="19"/>
  <c r="AZ23" i="19" s="1"/>
  <c r="AY21" i="19"/>
  <c r="AY23" i="19" s="1"/>
  <c r="AU21" i="19"/>
  <c r="AU23" i="19" s="1"/>
  <c r="AT21" i="19"/>
  <c r="AT23" i="19" s="1"/>
  <c r="AP21" i="19"/>
  <c r="AP23" i="19" s="1"/>
  <c r="AO21" i="19"/>
  <c r="AO23" i="19" s="1"/>
  <c r="AK21" i="19"/>
  <c r="AK23" i="19" s="1"/>
  <c r="AJ21" i="19"/>
  <c r="AJ23" i="19" s="1"/>
  <c r="AF33" i="19"/>
  <c r="AF35" i="19" s="1"/>
  <c r="AE33" i="19"/>
  <c r="AE35" i="19" s="1"/>
  <c r="BE12" i="19"/>
  <c r="BD12" i="19"/>
  <c r="AZ12" i="19"/>
  <c r="AY12" i="19"/>
  <c r="AU12" i="19"/>
  <c r="AT12" i="19"/>
  <c r="AP12" i="19"/>
  <c r="AO12" i="19"/>
  <c r="AK12" i="19"/>
  <c r="AJ12" i="19"/>
  <c r="AF12" i="19"/>
  <c r="AE12" i="19"/>
  <c r="AS9" i="19"/>
  <c r="AN9" i="19"/>
  <c r="AK11" i="19"/>
  <c r="AJ11" i="19"/>
  <c r="AF11" i="19"/>
  <c r="AE11" i="19"/>
  <c r="Y34" i="19"/>
  <c r="X34" i="19"/>
  <c r="T34" i="19"/>
  <c r="S34" i="19"/>
  <c r="O34" i="19"/>
  <c r="N34" i="19"/>
  <c r="J34" i="19"/>
  <c r="I34" i="19"/>
  <c r="E34" i="19"/>
  <c r="D34" i="19"/>
  <c r="M31" i="19"/>
  <c r="W29" i="19"/>
  <c r="R29" i="19"/>
  <c r="H29" i="19"/>
  <c r="C29" i="19"/>
  <c r="P5" i="20" l="1"/>
  <c r="R5" i="20" s="1"/>
  <c r="R9" i="20"/>
  <c r="AJ13" i="19"/>
  <c r="AK13" i="19"/>
  <c r="AE13" i="19"/>
  <c r="AF13" i="19"/>
  <c r="X10" i="21"/>
  <c r="W10" i="21"/>
  <c r="F30" i="21"/>
  <c r="F32" i="21" s="1"/>
  <c r="S21" i="21" s="1"/>
  <c r="E30" i="21"/>
  <c r="E32" i="21" s="1"/>
  <c r="E14" i="20"/>
  <c r="F14" i="20" s="1"/>
  <c r="M6" i="20" s="1"/>
  <c r="F12" i="20"/>
  <c r="P6" i="20"/>
  <c r="R6" i="20" s="1"/>
  <c r="P7" i="20"/>
  <c r="R7" i="20" s="1"/>
  <c r="P8" i="20"/>
  <c r="R8" i="20" s="1"/>
  <c r="AP11" i="19"/>
  <c r="AP13" i="19" s="1"/>
  <c r="AZ11" i="19"/>
  <c r="AZ13" i="19" s="1"/>
  <c r="AO11" i="19"/>
  <c r="AO13" i="19" s="1"/>
  <c r="AU11" i="19"/>
  <c r="AU13" i="19" s="1"/>
  <c r="BE11" i="19"/>
  <c r="BE13" i="19" s="1"/>
  <c r="AT11" i="19"/>
  <c r="AT13" i="19" s="1"/>
  <c r="BD11" i="19"/>
  <c r="BD13" i="19" s="1"/>
  <c r="AY11" i="19"/>
  <c r="AY13" i="19" s="1"/>
  <c r="I33" i="19"/>
  <c r="I35" i="19" s="1"/>
  <c r="O33" i="19"/>
  <c r="O35" i="19" s="1"/>
  <c r="Y33" i="19"/>
  <c r="Y35" i="19" s="1"/>
  <c r="J33" i="19"/>
  <c r="J35" i="19" s="1"/>
  <c r="E33" i="19"/>
  <c r="E35" i="19" s="1"/>
  <c r="S33" i="19"/>
  <c r="S35" i="19" s="1"/>
  <c r="N33" i="19"/>
  <c r="N35" i="19" s="1"/>
  <c r="T33" i="19"/>
  <c r="T35" i="19" s="1"/>
  <c r="D33" i="19"/>
  <c r="D35" i="19" s="1"/>
  <c r="X33" i="19"/>
  <c r="X35" i="19" s="1"/>
  <c r="W11" i="21" l="1"/>
  <c r="X11" i="21"/>
  <c r="R11" i="20"/>
  <c r="U8" i="20" s="1"/>
  <c r="C10" i="21" s="1"/>
  <c r="L10" i="21" s="1"/>
  <c r="C19" i="21" s="1"/>
  <c r="U5" i="20" l="1"/>
  <c r="C7" i="21" s="1"/>
  <c r="L7" i="21" s="1"/>
  <c r="C16" i="21" s="1"/>
  <c r="U9" i="20"/>
  <c r="C11" i="21" s="1"/>
  <c r="L11" i="21" s="1"/>
  <c r="C20" i="21" s="1"/>
  <c r="U6" i="20"/>
  <c r="C8" i="21" s="1"/>
  <c r="L8" i="21" s="1"/>
  <c r="C17" i="21" s="1"/>
  <c r="U4" i="20"/>
  <c r="C6" i="21" s="1"/>
  <c r="U7" i="20"/>
  <c r="C9" i="21" s="1"/>
  <c r="L9" i="21" s="1"/>
  <c r="C18" i="21" s="1"/>
  <c r="D6" i="21" l="1"/>
  <c r="L6" i="21"/>
  <c r="C15" i="21" s="1"/>
  <c r="U10" i="20"/>
  <c r="E6" i="21" l="1"/>
  <c r="D7" i="21"/>
  <c r="M6" i="21"/>
  <c r="D15" i="21" s="1"/>
  <c r="E7" i="21" l="1"/>
  <c r="D8" i="21"/>
  <c r="M7" i="21"/>
  <c r="D16" i="21" s="1"/>
  <c r="N6" i="21"/>
  <c r="E15" i="21" s="1"/>
  <c r="F6" i="21"/>
  <c r="E8" i="21" l="1"/>
  <c r="D9" i="21"/>
  <c r="M8" i="21"/>
  <c r="D17" i="21" s="1"/>
  <c r="G6" i="21"/>
  <c r="O6" i="21"/>
  <c r="F15" i="21" s="1"/>
  <c r="T6" i="21" s="1"/>
  <c r="N7" i="21"/>
  <c r="E16" i="21" s="1"/>
  <c r="F7" i="21"/>
  <c r="G15" i="21" l="1"/>
  <c r="U6" i="21" s="1"/>
  <c r="H6" i="21"/>
  <c r="P6" i="21"/>
  <c r="H15" i="21" s="1"/>
  <c r="V6" i="21" s="1"/>
  <c r="G7" i="21"/>
  <c r="O7" i="21"/>
  <c r="F16" i="21" s="1"/>
  <c r="E9" i="21"/>
  <c r="D10" i="21"/>
  <c r="M9" i="21"/>
  <c r="D18" i="21" s="1"/>
  <c r="N8" i="21"/>
  <c r="E17" i="21" s="1"/>
  <c r="F8" i="21"/>
  <c r="G16" i="21" l="1"/>
  <c r="U7" i="21" s="1"/>
  <c r="T7" i="21"/>
  <c r="H7" i="21"/>
  <c r="I7" i="21" s="1"/>
  <c r="Y7" i="21" s="1"/>
  <c r="Z7" i="21" s="1"/>
  <c r="P7" i="21"/>
  <c r="H16" i="21" s="1"/>
  <c r="V7" i="21" s="1"/>
  <c r="E10" i="21"/>
  <c r="D11" i="21"/>
  <c r="M10" i="21"/>
  <c r="D19" i="21" s="1"/>
  <c r="O8" i="21"/>
  <c r="F17" i="21" s="1"/>
  <c r="G8" i="21"/>
  <c r="N9" i="21"/>
  <c r="E18" i="21" s="1"/>
  <c r="F9" i="21"/>
  <c r="Q6" i="21"/>
  <c r="I6" i="21"/>
  <c r="Y6" i="21" s="1"/>
  <c r="Z6" i="21" s="1"/>
  <c r="AB7" i="21" l="1"/>
  <c r="AA7" i="21"/>
  <c r="AB6" i="21"/>
  <c r="AA6" i="21"/>
  <c r="G17" i="21"/>
  <c r="U8" i="21" s="1"/>
  <c r="T8" i="21"/>
  <c r="E11" i="21"/>
  <c r="M11" i="21"/>
  <c r="D20" i="21" s="1"/>
  <c r="P8" i="21"/>
  <c r="H17" i="21" s="1"/>
  <c r="V8" i="21" s="1"/>
  <c r="H8" i="21"/>
  <c r="I8" i="21" s="1"/>
  <c r="Y8" i="21" s="1"/>
  <c r="Z8" i="21" s="1"/>
  <c r="N10" i="21"/>
  <c r="E19" i="21" s="1"/>
  <c r="F10" i="21"/>
  <c r="O9" i="21"/>
  <c r="F18" i="21" s="1"/>
  <c r="G9" i="21"/>
  <c r="Q7" i="21"/>
  <c r="AA8" i="21" l="1"/>
  <c r="AB8" i="21"/>
  <c r="G18" i="21"/>
  <c r="U9" i="21" s="1"/>
  <c r="T9" i="21"/>
  <c r="O10" i="21"/>
  <c r="F19" i="21" s="1"/>
  <c r="G10" i="21"/>
  <c r="N11" i="21"/>
  <c r="E20" i="21" s="1"/>
  <c r="F12" i="21"/>
  <c r="O12" i="21" s="1"/>
  <c r="F21" i="21" s="1"/>
  <c r="P9" i="21"/>
  <c r="H18" i="21" s="1"/>
  <c r="V9" i="21" s="1"/>
  <c r="H9" i="21"/>
  <c r="I9" i="21" s="1"/>
  <c r="Y9" i="21" s="1"/>
  <c r="Z9" i="21" s="1"/>
  <c r="Q8" i="21"/>
  <c r="F11" i="21"/>
  <c r="AB9" i="21" l="1"/>
  <c r="AA9" i="21"/>
  <c r="G19" i="21"/>
  <c r="U10" i="21" s="1"/>
  <c r="T10" i="21"/>
  <c r="T12" i="21"/>
  <c r="G21" i="21"/>
  <c r="U12" i="21" s="1"/>
  <c r="Q9" i="21"/>
  <c r="P10" i="21"/>
  <c r="H19" i="21" s="1"/>
  <c r="V10" i="21" s="1"/>
  <c r="H10" i="21"/>
  <c r="O11" i="21"/>
  <c r="F20" i="21" s="1"/>
  <c r="G11" i="21"/>
  <c r="G20" i="21" l="1"/>
  <c r="U11" i="21" s="1"/>
  <c r="V14" i="21" s="1"/>
  <c r="Y15" i="21" s="1"/>
  <c r="T11" i="21"/>
  <c r="Q10" i="21"/>
  <c r="P11" i="21"/>
  <c r="H20" i="21" s="1"/>
  <c r="H11" i="21"/>
  <c r="Q11" i="21" s="1"/>
  <c r="I10" i="21"/>
  <c r="Y10" i="21" s="1"/>
  <c r="Z10" i="21" s="1"/>
  <c r="V15" i="21" l="1"/>
  <c r="Y17" i="21" s="1"/>
  <c r="AA10" i="21"/>
  <c r="AB10" i="21"/>
  <c r="S22" i="21"/>
  <c r="S23" i="21" s="1"/>
  <c r="X25" i="21" s="1"/>
  <c r="X23" i="21" s="1"/>
  <c r="V11" i="21"/>
  <c r="I11" i="21"/>
  <c r="Y11" i="21" s="1"/>
  <c r="Z11" i="21" s="1"/>
  <c r="AB11" i="21" l="1"/>
  <c r="V18" i="21" s="1"/>
  <c r="Y16" i="21" s="1"/>
  <c r="AA11" i="21"/>
  <c r="V17" i="21" s="1"/>
  <c r="Y18" i="21" s="1"/>
  <c r="D9" i="22" l="1"/>
  <c r="D11" i="22" s="1"/>
  <c r="X33" i="22"/>
  <c r="X35" i="22" s="1"/>
  <c r="X9" i="22"/>
  <c r="X11" i="22" s="1"/>
  <c r="I45" i="22"/>
  <c r="I47" i="22" s="1"/>
  <c r="N21" i="22"/>
  <c r="N23" i="22" s="1"/>
  <c r="I33" i="22"/>
  <c r="I35" i="22" s="1"/>
  <c r="N33" i="22"/>
  <c r="N35" i="22" s="1"/>
  <c r="I21" i="22"/>
  <c r="I23" i="22" s="1"/>
  <c r="D21" i="22"/>
  <c r="D23" i="22" s="1"/>
  <c r="S33" i="22"/>
  <c r="S35" i="22" s="1"/>
  <c r="D33" i="22"/>
  <c r="D35" i="22" s="1"/>
  <c r="S21" i="22"/>
  <c r="S23" i="22" s="1"/>
  <c r="S9" i="22"/>
  <c r="S11" i="22" s="1"/>
  <c r="N45" i="22"/>
  <c r="N47" i="22" s="1"/>
  <c r="N9" i="22"/>
  <c r="N11" i="22" s="1"/>
  <c r="X21" i="22"/>
  <c r="X23" i="22" s="1"/>
  <c r="I9" i="22"/>
  <c r="I11" i="22" s="1"/>
  <c r="D45" i="22"/>
  <c r="D47" i="22" s="1"/>
</calcChain>
</file>

<file path=xl/comments1.xml><?xml version="1.0" encoding="utf-8"?>
<comments xmlns="http://schemas.openxmlformats.org/spreadsheetml/2006/main">
  <authors>
    <author>Pc</author>
  </authors>
  <commentList>
    <comment ref="B4" authorId="0" shapeId="0">
      <text>
        <r>
          <rPr>
            <b/>
            <sz val="9"/>
            <color indexed="81"/>
            <rFont val="Tahoma"/>
            <family val="2"/>
          </rPr>
          <t>Pc:</t>
        </r>
        <r>
          <rPr>
            <sz val="9"/>
            <color indexed="81"/>
            <rFont val="Tahoma"/>
            <family val="2"/>
          </rPr>
          <t xml:space="preserve">
cls con argilla espansa dosato a 1,50 kN/m</t>
        </r>
        <r>
          <rPr>
            <vertAlign val="superscript"/>
            <sz val="9"/>
            <color indexed="81"/>
            <rFont val="Tahoma"/>
            <family val="2"/>
          </rPr>
          <t>3</t>
        </r>
        <r>
          <rPr>
            <sz val="9"/>
            <color indexed="81"/>
            <rFont val="Tahoma"/>
            <family val="2"/>
          </rPr>
          <t xml:space="preserve"> di cemento per 1 m</t>
        </r>
        <r>
          <rPr>
            <vertAlign val="superscript"/>
            <sz val="9"/>
            <color indexed="81"/>
            <rFont val="Tahoma"/>
            <family val="2"/>
          </rPr>
          <t xml:space="preserve">3 </t>
        </r>
        <r>
          <rPr>
            <sz val="9"/>
            <color indexed="81"/>
            <rFont val="Tahoma"/>
            <family val="2"/>
          </rPr>
          <t>di impasto</t>
        </r>
      </text>
    </comment>
    <comment ref="F5" authorId="0" shapeId="0">
      <text>
        <r>
          <rPr>
            <b/>
            <sz val="9"/>
            <color indexed="81"/>
            <rFont val="Tahoma"/>
            <family val="2"/>
          </rPr>
          <t>Pc:</t>
        </r>
        <r>
          <rPr>
            <sz val="9"/>
            <color indexed="81"/>
            <rFont val="Tahoma"/>
            <family val="2"/>
          </rPr>
          <t xml:space="preserve">
8,65 numero di pignatte al m</t>
        </r>
        <r>
          <rPr>
            <vertAlign val="superscript"/>
            <sz val="9"/>
            <color indexed="81"/>
            <rFont val="Tahoma"/>
            <family val="2"/>
          </rPr>
          <t>2</t>
        </r>
      </text>
    </comment>
    <comment ref="K5" authorId="0" shapeId="0">
      <text>
        <r>
          <rPr>
            <b/>
            <sz val="9"/>
            <color indexed="81"/>
            <rFont val="Tahoma"/>
            <family val="2"/>
          </rPr>
          <t>Pc:</t>
        </r>
        <r>
          <rPr>
            <sz val="9"/>
            <color indexed="81"/>
            <rFont val="Tahoma"/>
            <family val="2"/>
          </rPr>
          <t xml:space="preserve">
8,65 numero di pignatte al m</t>
        </r>
        <r>
          <rPr>
            <vertAlign val="superscript"/>
            <sz val="9"/>
            <color indexed="81"/>
            <rFont val="Tahoma"/>
            <family val="2"/>
          </rPr>
          <t>2</t>
        </r>
      </text>
    </comment>
    <comment ref="F6" authorId="0" shapeId="0">
      <text>
        <r>
          <rPr>
            <b/>
            <sz val="9"/>
            <color indexed="81"/>
            <rFont val="Tahoma"/>
            <family val="2"/>
          </rPr>
          <t>Pc:</t>
        </r>
        <r>
          <rPr>
            <sz val="9"/>
            <color indexed="81"/>
            <rFont val="Tahoma"/>
            <family val="2"/>
          </rPr>
          <t xml:space="preserve">
3 numero di travetti al m
dim. 8x18x100 [cm] </t>
        </r>
      </text>
    </comment>
    <comment ref="K6" authorId="0" shapeId="0">
      <text>
        <r>
          <rPr>
            <b/>
            <sz val="9"/>
            <color indexed="81"/>
            <rFont val="Tahoma"/>
            <family val="2"/>
          </rPr>
          <t>Pc:</t>
        </r>
        <r>
          <rPr>
            <sz val="9"/>
            <color indexed="81"/>
            <rFont val="Tahoma"/>
            <family val="2"/>
          </rPr>
          <t xml:space="preserve">
3 numero di travetti al m
dim. 8x18x100 [cm] </t>
        </r>
      </text>
    </comment>
    <comment ref="F7" authorId="0" shapeId="0">
      <text>
        <r>
          <rPr>
            <b/>
            <sz val="9"/>
            <color indexed="81"/>
            <rFont val="Tahoma"/>
            <family val="2"/>
          </rPr>
          <t>Pc:</t>
        </r>
        <r>
          <rPr>
            <sz val="9"/>
            <color indexed="81"/>
            <rFont val="Tahoma"/>
            <family val="2"/>
          </rPr>
          <t xml:space="preserve">
0,04 m spessore della soletta</t>
        </r>
      </text>
    </comment>
    <comment ref="K7" authorId="0" shapeId="0">
      <text>
        <r>
          <rPr>
            <b/>
            <sz val="9"/>
            <color indexed="81"/>
            <rFont val="Tahoma"/>
            <family val="2"/>
          </rPr>
          <t>Pc:</t>
        </r>
        <r>
          <rPr>
            <sz val="9"/>
            <color indexed="81"/>
            <rFont val="Tahoma"/>
            <family val="2"/>
          </rPr>
          <t xml:space="preserve">
0,04 m spessore della soletta</t>
        </r>
      </text>
    </comment>
    <comment ref="H8" authorId="0" shapeId="0">
      <text>
        <r>
          <rPr>
            <b/>
            <sz val="9"/>
            <color indexed="81"/>
            <rFont val="Tahoma"/>
            <family val="2"/>
          </rPr>
          <t>Pc:</t>
        </r>
        <r>
          <rPr>
            <sz val="9"/>
            <color indexed="81"/>
            <rFont val="Tahoma"/>
            <family val="2"/>
          </rPr>
          <t xml:space="preserve">
Manto impermeabilizzante di asfalto o simile</t>
        </r>
      </text>
    </comment>
    <comment ref="B11" authorId="0" shapeId="0">
      <text>
        <r>
          <rPr>
            <b/>
            <sz val="9"/>
            <color indexed="81"/>
            <rFont val="Tahoma"/>
            <family val="2"/>
          </rPr>
          <t>Pc:</t>
        </r>
        <r>
          <rPr>
            <sz val="9"/>
            <color indexed="81"/>
            <rFont val="Tahoma"/>
            <family val="2"/>
          </rPr>
          <t xml:space="preserve">
Pigantta scelta SH18 della ILAP Dim. 33x35x18 [cm]</t>
        </r>
      </text>
    </comment>
    <comment ref="E23" authorId="0" shapeId="0">
      <text>
        <r>
          <rPr>
            <b/>
            <sz val="9"/>
            <color indexed="81"/>
            <rFont val="Tahoma"/>
            <family val="2"/>
          </rPr>
          <t>Pc:
ho preferito un utilizzarla malgrado fosse più leggera della tipologia in c.a.</t>
        </r>
      </text>
    </comment>
  </commentList>
</comments>
</file>

<file path=xl/comments2.xml><?xml version="1.0" encoding="utf-8"?>
<comments xmlns="http://schemas.openxmlformats.org/spreadsheetml/2006/main">
  <authors>
    <author>Pc</author>
  </authors>
  <commentList>
    <comment ref="H6" authorId="0" shapeId="0">
      <text>
        <r>
          <rPr>
            <b/>
            <sz val="9"/>
            <color indexed="81"/>
            <rFont val="Tahoma"/>
            <family val="2"/>
          </rPr>
          <t>Pc:</t>
        </r>
        <r>
          <rPr>
            <sz val="9"/>
            <color indexed="81"/>
            <rFont val="Tahoma"/>
            <family val="2"/>
          </rPr>
          <t xml:space="preserve">
Coefficiente che vale 0,085 per edifici con struttura con telai in acciaio
 0,075 per edifici con struttura a telaio in cemento armato 
0,050 per le tipologie strutturali ( edifici con pareti in c.a)</t>
        </r>
      </text>
    </comment>
    <comment ref="K11" authorId="0" shapeId="0">
      <text>
        <r>
          <rPr>
            <b/>
            <sz val="9"/>
            <color indexed="81"/>
            <rFont val="Tahoma"/>
            <family val="2"/>
          </rPr>
          <t>Pc:</t>
        </r>
        <r>
          <rPr>
            <sz val="9"/>
            <color indexed="81"/>
            <rFont val="Tahoma"/>
            <family val="2"/>
          </rPr>
          <t xml:space="preserve">
CD"A"</t>
        </r>
      </text>
    </comment>
    <comment ref="H13" authorId="0" shapeId="0">
      <text>
        <r>
          <rPr>
            <b/>
            <sz val="9"/>
            <color indexed="81"/>
            <rFont val="Tahoma"/>
            <family val="2"/>
          </rPr>
          <t>Pc:</t>
        </r>
        <r>
          <rPr>
            <sz val="9"/>
            <color indexed="81"/>
            <rFont val="Tahoma"/>
            <family val="2"/>
          </rPr>
          <t xml:space="preserve">
Fattore riduttivo che tiene conto della regolarità in altezza della struttura</t>
        </r>
      </text>
    </comment>
    <comment ref="B14" authorId="0" shapeId="0">
      <text>
        <r>
          <rPr>
            <b/>
            <sz val="9"/>
            <color indexed="81"/>
            <rFont val="Tahoma"/>
            <family val="2"/>
          </rPr>
          <t>Pc:</t>
        </r>
        <r>
          <rPr>
            <sz val="9"/>
            <color indexed="81"/>
            <rFont val="Tahoma"/>
            <family val="2"/>
          </rPr>
          <t xml:space="preserve">
Totale dei 5 impalcati liberi, il 6° impalcato libero e le due falde è indicato come copertura</t>
        </r>
      </text>
    </comment>
    <comment ref="J20" authorId="0" shapeId="0">
      <text>
        <r>
          <rPr>
            <b/>
            <sz val="9"/>
            <color indexed="81"/>
            <rFont val="Tahoma"/>
            <family val="2"/>
          </rPr>
          <t>Pc:</t>
        </r>
        <r>
          <rPr>
            <sz val="9"/>
            <color indexed="81"/>
            <rFont val="Tahoma"/>
            <family val="2"/>
          </rPr>
          <t xml:space="preserve">
-Quando le ordinate   dello sprettro di risposta elastico risultano elevate può essere preferibile usare classi di duttilità "A"</t>
        </r>
      </text>
    </comment>
    <comment ref="K20" authorId="0" shapeId="0">
      <text>
        <r>
          <rPr>
            <b/>
            <sz val="9"/>
            <color indexed="81"/>
            <rFont val="Tahoma"/>
            <family val="2"/>
          </rPr>
          <t>Pc:</t>
        </r>
        <r>
          <rPr>
            <sz val="9"/>
            <color indexed="81"/>
            <rFont val="Tahoma"/>
            <family val="2"/>
          </rPr>
          <t xml:space="preserve">
-Per strutture con sole travi a spessore è obbligatorio usare classi di duttilità "B"
-Quando le ordinate   dello sprettro di risposta elastico non risultano elevate può essere preferibile usare classi di duttilità "B"</t>
        </r>
      </text>
    </comment>
  </commentList>
</comments>
</file>

<file path=xl/comments3.xml><?xml version="1.0" encoding="utf-8"?>
<comments xmlns="http://schemas.openxmlformats.org/spreadsheetml/2006/main">
  <authors>
    <author>Pc</author>
  </authors>
  <commentList>
    <comment ref="K3" authorId="0" shapeId="0">
      <text>
        <r>
          <rPr>
            <b/>
            <sz val="9"/>
            <color indexed="81"/>
            <rFont val="Tahoma"/>
            <family val="2"/>
          </rPr>
          <t>Pc:</t>
        </r>
        <r>
          <rPr>
            <sz val="9"/>
            <color indexed="81"/>
            <rFont val="Tahoma"/>
            <family val="2"/>
          </rPr>
          <t xml:space="preserve">
Questo incremento si riferisce solo ai telai perimetrali</t>
        </r>
      </text>
    </comment>
    <comment ref="U5" authorId="0" shapeId="0">
      <text>
        <r>
          <rPr>
            <b/>
            <sz val="9"/>
            <color indexed="81"/>
            <rFont val="Tahoma"/>
            <family val="2"/>
          </rPr>
          <t>Pc:</t>
        </r>
        <r>
          <rPr>
            <sz val="9"/>
            <color indexed="81"/>
            <rFont val="Tahoma"/>
            <family val="2"/>
          </rPr>
          <t xml:space="preserve">
Gerarchie delle resistenze
i momenti dei pilastri, escludendo quello al piede dei pilastri del primo ordine, devono essere incrementati  per rispettare il criterio di gerarchia delle resistenze.
Per le strutture progettate con una CDA si consiglia di moltiplicare tali valori per 1,5.
Per le strutture progettate con una CDB si consiglia di moltiplicare tali valori per 1,3.</t>
        </r>
      </text>
    </comment>
    <comment ref="G14" authorId="0" shapeId="0">
      <text>
        <r>
          <rPr>
            <b/>
            <sz val="9"/>
            <color indexed="81"/>
            <rFont val="Tahoma"/>
            <family val="2"/>
          </rPr>
          <t>Pc: 
Gerarchie delle resistenze</t>
        </r>
        <r>
          <rPr>
            <sz val="9"/>
            <color indexed="81"/>
            <rFont val="Tahoma"/>
            <family val="2"/>
          </rPr>
          <t xml:space="preserve">
i momenti dei pilastri, escludendo quello al piede dei pilastri del primo ordine, devono essere incrementati  per rispettare il criterio di gerarchia delle resistenze.
Per le strutture progettate con una CDA si consiglia di moltiplicare tali valori per 1,5.
Per le strutture progettate con una CDB si consiglia di moltiplicare tali valori per 1,3.</t>
        </r>
      </text>
    </comment>
    <comment ref="L19" authorId="0" shapeId="0">
      <text>
        <r>
          <rPr>
            <b/>
            <sz val="9"/>
            <color indexed="81"/>
            <rFont val="Tahoma"/>
            <family val="2"/>
          </rPr>
          <t>Pc:</t>
        </r>
        <r>
          <rPr>
            <sz val="9"/>
            <color indexed="81"/>
            <rFont val="Tahoma"/>
            <family val="2"/>
          </rPr>
          <t xml:space="preserve">
Ripartisco il taglio globale tra gli 8 pilastri in direzione x</t>
        </r>
      </text>
    </comment>
    <comment ref="W22" authorId="0" shapeId="0">
      <text>
        <r>
          <rPr>
            <b/>
            <sz val="9"/>
            <color indexed="81"/>
            <rFont val="Tahoma"/>
            <family val="2"/>
          </rPr>
          <t>Pc:</t>
        </r>
        <r>
          <rPr>
            <sz val="9"/>
            <color indexed="81"/>
            <rFont val="Tahoma"/>
            <family val="2"/>
          </rPr>
          <t xml:space="preserve">
base assegnata pari a 30 cm</t>
        </r>
      </text>
    </comment>
    <comment ref="W23" authorId="0" shapeId="0">
      <text>
        <r>
          <rPr>
            <b/>
            <sz val="9"/>
            <color indexed="81"/>
            <rFont val="Tahoma"/>
            <family val="2"/>
          </rPr>
          <t>Pc:</t>
        </r>
        <r>
          <rPr>
            <sz val="9"/>
            <color indexed="81"/>
            <rFont val="Tahoma"/>
            <family val="2"/>
          </rPr>
          <t xml:space="preserve">
Incognita</t>
        </r>
      </text>
    </comment>
  </commentList>
</comments>
</file>

<file path=xl/sharedStrings.xml><?xml version="1.0" encoding="utf-8"?>
<sst xmlns="http://schemas.openxmlformats.org/spreadsheetml/2006/main" count="785" uniqueCount="278">
  <si>
    <r>
      <t>cls armato [kN/m</t>
    </r>
    <r>
      <rPr>
        <vertAlign val="superscript"/>
        <sz val="11"/>
        <color theme="1"/>
        <rFont val="Calibri"/>
        <family val="2"/>
        <scheme val="minor"/>
      </rPr>
      <t>3</t>
    </r>
    <r>
      <rPr>
        <sz val="11"/>
        <color theme="1"/>
        <rFont val="Calibri"/>
        <family val="2"/>
        <scheme val="minor"/>
      </rPr>
      <t>]</t>
    </r>
  </si>
  <si>
    <r>
      <t>malta di calce [kN/m</t>
    </r>
    <r>
      <rPr>
        <vertAlign val="superscript"/>
        <sz val="11"/>
        <color theme="1"/>
        <rFont val="Calibri"/>
        <family val="2"/>
        <scheme val="minor"/>
      </rPr>
      <t>3</t>
    </r>
    <r>
      <rPr>
        <sz val="11"/>
        <color theme="1"/>
        <rFont val="Calibri"/>
        <family val="2"/>
        <scheme val="minor"/>
      </rPr>
      <t>]</t>
    </r>
  </si>
  <si>
    <r>
      <t>gress [kN/m</t>
    </r>
    <r>
      <rPr>
        <vertAlign val="superscript"/>
        <sz val="11"/>
        <color theme="1"/>
        <rFont val="Calibri"/>
        <family val="2"/>
        <scheme val="minor"/>
      </rPr>
      <t>3</t>
    </r>
    <r>
      <rPr>
        <sz val="11"/>
        <color theme="1"/>
        <rFont val="Calibri"/>
        <family val="2"/>
        <scheme val="minor"/>
      </rPr>
      <t>]</t>
    </r>
  </si>
  <si>
    <r>
      <t>granito [kN/m</t>
    </r>
    <r>
      <rPr>
        <vertAlign val="superscript"/>
        <sz val="11"/>
        <color theme="1"/>
        <rFont val="Calibri"/>
        <family val="2"/>
        <scheme val="minor"/>
      </rPr>
      <t>3</t>
    </r>
    <r>
      <rPr>
        <sz val="11"/>
        <color theme="1"/>
        <rFont val="Calibri"/>
        <family val="2"/>
        <scheme val="minor"/>
      </rPr>
      <t>]</t>
    </r>
  </si>
  <si>
    <r>
      <t>laterizio pieno [kN/m</t>
    </r>
    <r>
      <rPr>
        <vertAlign val="superscript"/>
        <sz val="11"/>
        <color theme="1"/>
        <rFont val="Calibri"/>
        <family val="2"/>
        <scheme val="minor"/>
      </rPr>
      <t>3</t>
    </r>
    <r>
      <rPr>
        <sz val="11"/>
        <color theme="1"/>
        <rFont val="Calibri"/>
        <family val="2"/>
        <scheme val="minor"/>
      </rPr>
      <t>]</t>
    </r>
  </si>
  <si>
    <r>
      <t>laterizio forato [kN/m</t>
    </r>
    <r>
      <rPr>
        <vertAlign val="superscript"/>
        <sz val="11"/>
        <color theme="1"/>
        <rFont val="Calibri"/>
        <family val="2"/>
        <scheme val="minor"/>
      </rPr>
      <t>3</t>
    </r>
    <r>
      <rPr>
        <sz val="11"/>
        <color theme="1"/>
        <rFont val="Calibri"/>
        <family val="2"/>
        <scheme val="minor"/>
      </rPr>
      <t>]</t>
    </r>
  </si>
  <si>
    <r>
      <t>pignatta [kN/m</t>
    </r>
    <r>
      <rPr>
        <vertAlign val="superscript"/>
        <sz val="11"/>
        <color theme="1"/>
        <rFont val="Calibri"/>
        <family val="2"/>
        <scheme val="minor"/>
      </rPr>
      <t>2</t>
    </r>
    <r>
      <rPr>
        <sz val="11"/>
        <color theme="1"/>
        <rFont val="Calibri"/>
        <family val="2"/>
        <scheme val="minor"/>
      </rPr>
      <t>]</t>
    </r>
  </si>
  <si>
    <r>
      <t>pignatta altezza [m</t>
    </r>
    <r>
      <rPr>
        <sz val="11"/>
        <color theme="1"/>
        <rFont val="Calibri"/>
        <family val="2"/>
        <scheme val="minor"/>
      </rPr>
      <t>]</t>
    </r>
  </si>
  <si>
    <t>spessore soletta [m]</t>
  </si>
  <si>
    <t>spessore massetto [m]</t>
  </si>
  <si>
    <t>intonaco [kN/m2]</t>
  </si>
  <si>
    <t>spessore intonaco [m]</t>
  </si>
  <si>
    <t>spessore pavimento [m]</t>
  </si>
  <si>
    <t>Solaio</t>
  </si>
  <si>
    <t xml:space="preserve">Ψ0 </t>
  </si>
  <si>
    <t>Ψ2</t>
  </si>
  <si>
    <t>Ψ1</t>
  </si>
  <si>
    <t>Categoria B, Uffici</t>
  </si>
  <si>
    <t>Categoria A, Ambienti ad uso residenziale</t>
  </si>
  <si>
    <t>Categoria C, Ambienti suscettibili di affollamento</t>
  </si>
  <si>
    <t>Categoria D, Ambienti ad uso commerciale</t>
  </si>
  <si>
    <t>Categoria E, Biblioteche, archivi, magazzini</t>
  </si>
  <si>
    <t>Categoria G, Remesse e parcheggi (veicoli &gt;30kN)</t>
  </si>
  <si>
    <t>Categoria H, Coperture</t>
  </si>
  <si>
    <t>Vento</t>
  </si>
  <si>
    <t>Variazioni termiche</t>
  </si>
  <si>
    <t>Coefficieti parziali di sicurezza del carico</t>
  </si>
  <si>
    <t>γG1</t>
  </si>
  <si>
    <t>γG2=γQ</t>
  </si>
  <si>
    <t>γP</t>
  </si>
  <si>
    <t>Scala</t>
  </si>
  <si>
    <t>Tratto inclinato rampa [m]</t>
  </si>
  <si>
    <t>Alzata [m]</t>
  </si>
  <si>
    <t>Pedata [m]</t>
  </si>
  <si>
    <t>Dati Geometrici della scala</t>
  </si>
  <si>
    <r>
      <t>cls  [kN/m</t>
    </r>
    <r>
      <rPr>
        <vertAlign val="superscript"/>
        <sz val="11"/>
        <color theme="1"/>
        <rFont val="Calibri"/>
        <family val="2"/>
        <scheme val="minor"/>
      </rPr>
      <t>3</t>
    </r>
    <r>
      <rPr>
        <sz val="11"/>
        <color theme="1"/>
        <rFont val="Calibri"/>
        <family val="2"/>
        <scheme val="minor"/>
      </rPr>
      <t>]</t>
    </r>
  </si>
  <si>
    <t>spessore granito [m]</t>
  </si>
  <si>
    <t>Balcone</t>
  </si>
  <si>
    <r>
      <t>malta di cemento [kN/m</t>
    </r>
    <r>
      <rPr>
        <vertAlign val="superscript"/>
        <sz val="11"/>
        <color theme="1"/>
        <rFont val="Calibri"/>
        <family val="2"/>
        <scheme val="minor"/>
      </rPr>
      <t>3</t>
    </r>
    <r>
      <rPr>
        <sz val="11"/>
        <color theme="1"/>
        <rFont val="Calibri"/>
        <family val="2"/>
        <scheme val="minor"/>
      </rPr>
      <t>]</t>
    </r>
  </si>
  <si>
    <t>C</t>
  </si>
  <si>
    <r>
      <t xml:space="preserve">Valori dei coefficienti </t>
    </r>
    <r>
      <rPr>
        <sz val="12"/>
        <color rgb="FFFF0000"/>
        <rFont val="Calibri"/>
        <family val="2"/>
      </rPr>
      <t>Ψ</t>
    </r>
    <r>
      <rPr>
        <vertAlign val="subscript"/>
        <sz val="12"/>
        <color rgb="FFFF0000"/>
        <rFont val="Calibri"/>
        <family val="2"/>
      </rPr>
      <t xml:space="preserve">0 </t>
    </r>
    <r>
      <rPr>
        <sz val="12"/>
        <color rgb="FFFF0000"/>
        <rFont val="Calibri"/>
        <family val="2"/>
      </rPr>
      <t>,Ψ</t>
    </r>
    <r>
      <rPr>
        <vertAlign val="subscript"/>
        <sz val="12"/>
        <color rgb="FFFF0000"/>
        <rFont val="Calibri"/>
        <family val="2"/>
      </rPr>
      <t>1</t>
    </r>
    <r>
      <rPr>
        <sz val="12"/>
        <color rgb="FFFF0000"/>
        <rFont val="Calibri"/>
        <family val="2"/>
      </rPr>
      <t>, Ψ</t>
    </r>
    <r>
      <rPr>
        <vertAlign val="subscript"/>
        <sz val="12"/>
        <color rgb="FFFF0000"/>
        <rFont val="Calibri"/>
        <family val="2"/>
      </rPr>
      <t>2</t>
    </r>
  </si>
  <si>
    <t>Scala in Acciaio</t>
  </si>
  <si>
    <r>
      <t>pignatta  [kN/m</t>
    </r>
    <r>
      <rPr>
        <vertAlign val="superscript"/>
        <sz val="11"/>
        <color theme="1"/>
        <rFont val="Calibri"/>
        <family val="2"/>
        <scheme val="minor"/>
      </rPr>
      <t>2</t>
    </r>
    <r>
      <rPr>
        <sz val="11"/>
        <color theme="1"/>
        <rFont val="Calibri"/>
        <family val="2"/>
        <scheme val="minor"/>
      </rPr>
      <t>]</t>
    </r>
  </si>
  <si>
    <r>
      <t>travetto [kN/m</t>
    </r>
    <r>
      <rPr>
        <vertAlign val="superscript"/>
        <sz val="11"/>
        <color theme="1"/>
        <rFont val="Calibri"/>
        <family val="2"/>
        <scheme val="minor"/>
      </rPr>
      <t>2</t>
    </r>
    <r>
      <rPr>
        <sz val="11"/>
        <color theme="1"/>
        <rFont val="Calibri"/>
        <family val="2"/>
        <scheme val="minor"/>
      </rPr>
      <t>]</t>
    </r>
  </si>
  <si>
    <r>
      <t>soletta [kN/m</t>
    </r>
    <r>
      <rPr>
        <vertAlign val="superscript"/>
        <sz val="11"/>
        <color theme="1"/>
        <rFont val="Calibri"/>
        <family val="2"/>
        <scheme val="minor"/>
      </rPr>
      <t>2</t>
    </r>
    <r>
      <rPr>
        <sz val="11"/>
        <color theme="1"/>
        <rFont val="Calibri"/>
        <family val="2"/>
        <scheme val="minor"/>
      </rPr>
      <t>]</t>
    </r>
  </si>
  <si>
    <r>
      <t>massetto [kN/m</t>
    </r>
    <r>
      <rPr>
        <vertAlign val="superscript"/>
        <sz val="11"/>
        <color theme="1"/>
        <rFont val="Calibri"/>
        <family val="2"/>
        <scheme val="minor"/>
      </rPr>
      <t>2</t>
    </r>
    <r>
      <rPr>
        <sz val="11"/>
        <color theme="1"/>
        <rFont val="Calibri"/>
        <family val="2"/>
        <scheme val="minor"/>
      </rPr>
      <t>]</t>
    </r>
  </si>
  <si>
    <r>
      <t>pavimento [kN/m</t>
    </r>
    <r>
      <rPr>
        <vertAlign val="superscript"/>
        <sz val="11"/>
        <color theme="1"/>
        <rFont val="Calibri"/>
        <family val="2"/>
        <scheme val="minor"/>
      </rPr>
      <t>2</t>
    </r>
    <r>
      <rPr>
        <sz val="11"/>
        <color theme="1"/>
        <rFont val="Calibri"/>
        <family val="2"/>
        <scheme val="minor"/>
      </rPr>
      <t>]</t>
    </r>
  </si>
  <si>
    <r>
      <t>intonaco [kN/m</t>
    </r>
    <r>
      <rPr>
        <vertAlign val="superscript"/>
        <sz val="11"/>
        <color theme="1"/>
        <rFont val="Calibri"/>
        <family val="2"/>
        <scheme val="minor"/>
      </rPr>
      <t>2</t>
    </r>
    <r>
      <rPr>
        <sz val="11"/>
        <color theme="1"/>
        <rFont val="Calibri"/>
        <family val="2"/>
        <scheme val="minor"/>
      </rPr>
      <t>]</t>
    </r>
  </si>
  <si>
    <r>
      <t>peso proprio solaio [kN/m</t>
    </r>
    <r>
      <rPr>
        <vertAlign val="superscript"/>
        <sz val="11"/>
        <color theme="1"/>
        <rFont val="Calibri"/>
        <family val="2"/>
        <scheme val="minor"/>
      </rPr>
      <t>2</t>
    </r>
    <r>
      <rPr>
        <sz val="11"/>
        <color theme="1"/>
        <rFont val="Calibri"/>
        <family val="2"/>
        <scheme val="minor"/>
      </rPr>
      <t>]</t>
    </r>
  </si>
  <si>
    <t>ag [g]</t>
  </si>
  <si>
    <t>Fo</t>
  </si>
  <si>
    <t>Impalcato tipo [kN/m2]</t>
  </si>
  <si>
    <t>Tc* [s]</t>
  </si>
  <si>
    <t>g [m/s2]</t>
  </si>
  <si>
    <t>C1</t>
  </si>
  <si>
    <t>[kN]</t>
  </si>
  <si>
    <t>[m]</t>
  </si>
  <si>
    <t>[kNm]</t>
  </si>
  <si>
    <t>Piano</t>
  </si>
  <si>
    <t xml:space="preserve">Wi </t>
  </si>
  <si>
    <t>hi</t>
  </si>
  <si>
    <t>Wi hi</t>
  </si>
  <si>
    <t xml:space="preserve"> </t>
  </si>
  <si>
    <t>F6</t>
  </si>
  <si>
    <t>F5</t>
  </si>
  <si>
    <t>F4</t>
  </si>
  <si>
    <t>Sd</t>
  </si>
  <si>
    <t>F3</t>
  </si>
  <si>
    <t>λ</t>
  </si>
  <si>
    <t>F2</t>
  </si>
  <si>
    <t>Fh [kN]</t>
  </si>
  <si>
    <t>F1</t>
  </si>
  <si>
    <t>qo=3*αu/α1</t>
  </si>
  <si>
    <t>ΣWi hi</t>
  </si>
  <si>
    <t>ΣFh</t>
  </si>
  <si>
    <t>tipologie</t>
  </si>
  <si>
    <t xml:space="preserve">Strutture Regolari </t>
  </si>
  <si>
    <t xml:space="preserve">Strutture non Regolari </t>
  </si>
  <si>
    <t>Valori di q0, secondo le NTC 08</t>
  </si>
  <si>
    <t>Valori di αu/α1, per strutture regolari in pianta, secondo le NTC 08</t>
  </si>
  <si>
    <t>Tipologia</t>
  </si>
  <si>
    <t>CD"A"</t>
  </si>
  <si>
    <t>CD"B"</t>
  </si>
  <si>
    <t>Strutture a telaio o strutture miste equivalenti a telaio ad un solo piano</t>
  </si>
  <si>
    <t>Strutture a telaio , strutture miste telaio-pareti, strutture a pareti accoppiate</t>
  </si>
  <si>
    <t>4,5*αu/α1</t>
  </si>
  <si>
    <t>3*αu/α1</t>
  </si>
  <si>
    <t>a più piani ma ad una sola campata</t>
  </si>
  <si>
    <t>Strutture a pareti non accoppiate</t>
  </si>
  <si>
    <t>4*αu/α2</t>
  </si>
  <si>
    <t>a più piani e più campata</t>
  </si>
  <si>
    <t>Strutture torsionalmente deformabili</t>
  </si>
  <si>
    <t>Strutture a pareti o strutture miste equivalenti a parete solo due pareti</t>
  </si>
  <si>
    <t>Strutture a pendolo inverso</t>
  </si>
  <si>
    <t>non accoppiate per ogni direzione</t>
  </si>
  <si>
    <t>più a pareti non accoppiate</t>
  </si>
  <si>
    <t>pareti accoppiate o strutture miste equivalenti a pareti</t>
  </si>
  <si>
    <r>
      <t>Valori di K</t>
    </r>
    <r>
      <rPr>
        <sz val="8"/>
        <color rgb="FF0070C0"/>
        <rFont val="Calibri"/>
        <family val="2"/>
        <scheme val="minor"/>
      </rPr>
      <t>R</t>
    </r>
    <r>
      <rPr>
        <sz val="11"/>
        <color rgb="FF0070C0"/>
        <rFont val="Calibri"/>
        <family val="2"/>
        <scheme val="minor"/>
      </rPr>
      <t>, secondo le NTC 08</t>
    </r>
  </si>
  <si>
    <t>Impalcato (Tetto) [kN/m2]</t>
  </si>
  <si>
    <r>
      <t>peso proprio balcone [kN/m</t>
    </r>
    <r>
      <rPr>
        <vertAlign val="superscript"/>
        <sz val="11"/>
        <color theme="1"/>
        <rFont val="Calibri"/>
        <family val="2"/>
        <scheme val="minor"/>
      </rPr>
      <t>2</t>
    </r>
    <r>
      <rPr>
        <sz val="11"/>
        <color theme="1"/>
        <rFont val="Calibri"/>
        <family val="2"/>
        <scheme val="minor"/>
      </rPr>
      <t>]</t>
    </r>
  </si>
  <si>
    <t>gk</t>
  </si>
  <si>
    <t>g'k</t>
  </si>
  <si>
    <t>qk</t>
  </si>
  <si>
    <t>gk+Ψkqk</t>
  </si>
  <si>
    <t>gd+qd</t>
  </si>
  <si>
    <t>scala</t>
  </si>
  <si>
    <t>tamponatura</t>
  </si>
  <si>
    <t>Altezza totale della costruzione H[m]</t>
  </si>
  <si>
    <t>Solaio di copertura</t>
  </si>
  <si>
    <t>Massa [tonn]</t>
  </si>
  <si>
    <t>impalcato tipo</t>
  </si>
  <si>
    <t>copertura</t>
  </si>
  <si>
    <t>Totale</t>
  </si>
  <si>
    <r>
      <t>Area [m</t>
    </r>
    <r>
      <rPr>
        <vertAlign val="superscript"/>
        <sz val="11"/>
        <color theme="1"/>
        <rFont val="Calibri"/>
        <family val="2"/>
        <scheme val="minor"/>
      </rPr>
      <t>2</t>
    </r>
    <r>
      <rPr>
        <sz val="11"/>
        <color theme="1"/>
        <rFont val="Calibri"/>
        <family val="2"/>
        <scheme val="minor"/>
      </rPr>
      <t>]</t>
    </r>
  </si>
  <si>
    <t>Peso [kN]</t>
  </si>
  <si>
    <t>Periodo Fondamentale T1</t>
  </si>
  <si>
    <r>
      <t>Fattore di struttura q=q</t>
    </r>
    <r>
      <rPr>
        <sz val="8"/>
        <color theme="1"/>
        <rFont val="Calibri"/>
        <family val="2"/>
        <scheme val="minor"/>
      </rPr>
      <t>o</t>
    </r>
    <r>
      <rPr>
        <sz val="11"/>
        <color theme="1"/>
        <rFont val="Calibri"/>
        <family val="2"/>
        <scheme val="minor"/>
      </rPr>
      <t>*K</t>
    </r>
    <r>
      <rPr>
        <sz val="8"/>
        <color theme="1"/>
        <rFont val="Calibri"/>
        <family val="2"/>
        <scheme val="minor"/>
      </rPr>
      <t>R</t>
    </r>
  </si>
  <si>
    <r>
      <t>cls con argilla espanza [kN/m</t>
    </r>
    <r>
      <rPr>
        <vertAlign val="superscript"/>
        <sz val="11"/>
        <color theme="1"/>
        <rFont val="Calibri"/>
        <family val="2"/>
        <scheme val="minor"/>
      </rPr>
      <t>3</t>
    </r>
    <r>
      <rPr>
        <sz val="11"/>
        <color theme="1"/>
        <rFont val="Calibri"/>
        <family val="2"/>
        <scheme val="minor"/>
      </rPr>
      <t>]</t>
    </r>
  </si>
  <si>
    <t>Pilastro 7</t>
  </si>
  <si>
    <t>elementi strutturali</t>
  </si>
  <si>
    <t>Solaio tipo</t>
  </si>
  <si>
    <t>Balconi</t>
  </si>
  <si>
    <t>P.P. (Trave)</t>
  </si>
  <si>
    <t>Campata 1-2</t>
  </si>
  <si>
    <t>Campata 5-6</t>
  </si>
  <si>
    <t>Campata 14-15</t>
  </si>
  <si>
    <t>Campata 2-3</t>
  </si>
  <si>
    <t>Campata 15-16</t>
  </si>
  <si>
    <t>Campata 3-4</t>
  </si>
  <si>
    <t>Campata 7-8</t>
  </si>
  <si>
    <t>Campata 16-17</t>
  </si>
  <si>
    <t>Campata 11-17</t>
  </si>
  <si>
    <t>Campata 12-18</t>
  </si>
  <si>
    <t>Campata 8-9</t>
  </si>
  <si>
    <t>Campata 11-12</t>
  </si>
  <si>
    <t>Campata 17-18</t>
  </si>
  <si>
    <t>Campata 9-10</t>
  </si>
  <si>
    <t>r'</t>
  </si>
  <si>
    <t>Pilastro 1</t>
  </si>
  <si>
    <t>Pilastro 2</t>
  </si>
  <si>
    <t>Pilastro 3</t>
  </si>
  <si>
    <t>Pilastro 4</t>
  </si>
  <si>
    <t>Pilastro 5</t>
  </si>
  <si>
    <t>Sviluppo</t>
  </si>
  <si>
    <r>
      <t>g</t>
    </r>
    <r>
      <rPr>
        <vertAlign val="subscript"/>
        <sz val="11"/>
        <color theme="1"/>
        <rFont val="Calibri"/>
        <family val="2"/>
        <scheme val="minor"/>
      </rPr>
      <t>d</t>
    </r>
    <r>
      <rPr>
        <sz val="11"/>
        <color theme="1"/>
        <rFont val="Calibri"/>
        <family val="2"/>
        <scheme val="minor"/>
      </rPr>
      <t>+q</t>
    </r>
    <r>
      <rPr>
        <vertAlign val="subscript"/>
        <sz val="11"/>
        <color theme="1"/>
        <rFont val="Calibri"/>
        <family val="2"/>
        <scheme val="minor"/>
      </rPr>
      <t>d</t>
    </r>
  </si>
  <si>
    <t xml:space="preserve">Solaio </t>
  </si>
  <si>
    <t xml:space="preserve">Balconi </t>
  </si>
  <si>
    <t>Trave p.p.</t>
  </si>
  <si>
    <t xml:space="preserve">Scala </t>
  </si>
  <si>
    <t>Tamponature</t>
  </si>
  <si>
    <t>p.p (Pilastro)</t>
  </si>
  <si>
    <t>Pilastro 6</t>
  </si>
  <si>
    <t>Pilastro 8</t>
  </si>
  <si>
    <t>Pilastro 9</t>
  </si>
  <si>
    <t>Pilastro 10</t>
  </si>
  <si>
    <t>Pilastro 11</t>
  </si>
  <si>
    <t>Pilastro 12</t>
  </si>
  <si>
    <t>Pilastro 13</t>
  </si>
  <si>
    <t>Pilastro 14</t>
  </si>
  <si>
    <t>Pilastro 15</t>
  </si>
  <si>
    <t>Pilastro 16</t>
  </si>
  <si>
    <t>Pilastro 17</t>
  </si>
  <si>
    <t>Pilastro 18</t>
  </si>
  <si>
    <t>gk+Ψqk</t>
  </si>
  <si>
    <t>Lacalità</t>
  </si>
  <si>
    <t xml:space="preserve">Suolo </t>
  </si>
  <si>
    <t xml:space="preserve">Categoria Topografica </t>
  </si>
  <si>
    <t>T1</t>
  </si>
  <si>
    <t>Stato Limite</t>
  </si>
  <si>
    <t>Tr [anni]</t>
  </si>
  <si>
    <t>Operatività (SLO)</t>
  </si>
  <si>
    <t>Ordinata spettrale</t>
  </si>
  <si>
    <t>Danno (SLD)</t>
  </si>
  <si>
    <t>SLD</t>
  </si>
  <si>
    <t>Salvaguardia vita (SLV)</t>
  </si>
  <si>
    <t>Prevenzione collasso (SLC)</t>
  </si>
  <si>
    <t>Rapporto</t>
  </si>
  <si>
    <t xml:space="preserve">Maugeri </t>
  </si>
  <si>
    <t>Fi</t>
  </si>
  <si>
    <t>Vi</t>
  </si>
  <si>
    <t>Mpil</t>
  </si>
  <si>
    <t>Mtra</t>
  </si>
  <si>
    <t>Vtra</t>
  </si>
  <si>
    <t>Mpil (incre)</t>
  </si>
  <si>
    <t xml:space="preserve"> A'S = Armatura compressa</t>
  </si>
  <si>
    <t xml:space="preserve"> AS = Armatura tesa </t>
  </si>
  <si>
    <t>H di interpiano [m]</t>
  </si>
  <si>
    <t>H del primo piano [m]</t>
  </si>
  <si>
    <r>
      <t>T1</t>
    </r>
    <r>
      <rPr>
        <sz val="11"/>
        <color rgb="FFFF0000"/>
        <rFont val="Calibri"/>
        <family val="2"/>
      </rPr>
      <t>&lt;</t>
    </r>
    <r>
      <rPr>
        <sz val="11"/>
        <color rgb="FFFF0000"/>
        <rFont val="Calibri"/>
        <family val="2"/>
        <scheme val="minor"/>
      </rPr>
      <t xml:space="preserve">2Tc </t>
    </r>
  </si>
  <si>
    <t xml:space="preserve">  </t>
  </si>
  <si>
    <t>SLV, CD C</t>
  </si>
  <si>
    <t>1 testa</t>
  </si>
  <si>
    <t>piede</t>
  </si>
  <si>
    <r>
      <rPr>
        <sz val="11"/>
        <color theme="1"/>
        <rFont val="Calibri"/>
        <family val="2"/>
      </rPr>
      <t>Δ</t>
    </r>
    <r>
      <rPr>
        <sz val="11"/>
        <color theme="1"/>
        <rFont val="Calibri"/>
        <family val="2"/>
        <scheme val="minor"/>
      </rPr>
      <t>Npil</t>
    </r>
  </si>
  <si>
    <t>rampa  [kN/m2]</t>
  </si>
  <si>
    <t>gradini [kN/m2]</t>
  </si>
  <si>
    <t>massetto [kN/m2]</t>
  </si>
  <si>
    <t>pavimento (granito) [kN/m2]</t>
  </si>
  <si>
    <t>peso proprio scala [kN/m2]</t>
  </si>
  <si>
    <t>spessore massetto balcone scala[m]</t>
  </si>
  <si>
    <t>N° pilastri direzione x</t>
  </si>
  <si>
    <t>N° pilastri direzione y</t>
  </si>
  <si>
    <t xml:space="preserve">Vpil </t>
  </si>
  <si>
    <t>Caratteristiche della sollecitazione incremente del 20% per eccentricità</t>
  </si>
  <si>
    <t>p.p (Trave)</t>
  </si>
  <si>
    <r>
      <t>g</t>
    </r>
    <r>
      <rPr>
        <vertAlign val="subscript"/>
        <sz val="11"/>
        <color theme="1"/>
        <rFont val="Calibri"/>
        <family val="2"/>
        <scheme val="minor"/>
      </rPr>
      <t>k</t>
    </r>
    <r>
      <rPr>
        <sz val="11"/>
        <color theme="1"/>
        <rFont val="Calibri"/>
        <family val="2"/>
        <scheme val="minor"/>
      </rPr>
      <t>+Ψ</t>
    </r>
    <r>
      <rPr>
        <sz val="8"/>
        <color theme="1"/>
        <rFont val="Calibri"/>
        <family val="2"/>
        <scheme val="minor"/>
      </rPr>
      <t>2</t>
    </r>
    <r>
      <rPr>
        <sz val="11"/>
        <color theme="1"/>
        <rFont val="Calibri"/>
        <family val="2"/>
        <scheme val="minor"/>
      </rPr>
      <t>q</t>
    </r>
    <r>
      <rPr>
        <vertAlign val="subscript"/>
        <sz val="11"/>
        <color theme="1"/>
        <rFont val="Calibri"/>
        <family val="2"/>
        <scheme val="minor"/>
      </rPr>
      <t>k</t>
    </r>
  </si>
  <si>
    <t>Campata 13-14</t>
  </si>
  <si>
    <t>Campata 10-11</t>
  </si>
  <si>
    <t>Campata 4-5</t>
  </si>
  <si>
    <t>Campata 1-7</t>
  </si>
  <si>
    <t>Campata 7-13</t>
  </si>
  <si>
    <t>Campata 2-8</t>
  </si>
  <si>
    <t>Campata 8-14</t>
  </si>
  <si>
    <t>Campata 3-9</t>
  </si>
  <si>
    <t>Campata 9-15</t>
  </si>
  <si>
    <t>Campata 4-10</t>
  </si>
  <si>
    <t>Campata 10-16</t>
  </si>
  <si>
    <t>Campata 5-11</t>
  </si>
  <si>
    <t>Campata 6-12</t>
  </si>
  <si>
    <t>CAMPATE DIREZIONE X</t>
  </si>
  <si>
    <t xml:space="preserve">Trave a spessore </t>
  </si>
  <si>
    <t>Trave emergente</t>
  </si>
  <si>
    <t>Momento per carichi verticali da sisma M [kNm]</t>
  </si>
  <si>
    <t>Momento per azione sismica M [kNm]</t>
  </si>
  <si>
    <t>Momento massimo totale M [kNm]</t>
  </si>
  <si>
    <t xml:space="preserve">Sezione rettangolare </t>
  </si>
  <si>
    <t>Dati:</t>
  </si>
  <si>
    <t>base [cm]</t>
  </si>
  <si>
    <t>altezza [cm]</t>
  </si>
  <si>
    <t>copriferro [cm]</t>
  </si>
  <si>
    <t>u= A'S/AS</t>
  </si>
  <si>
    <t>Altezza utile [m]</t>
  </si>
  <si>
    <t>Sezione trasversale della trave emergente</t>
  </si>
  <si>
    <t>Ncvmax</t>
  </si>
  <si>
    <t>Ncvmin</t>
  </si>
  <si>
    <t>Nmax</t>
  </si>
  <si>
    <t>Nmin</t>
  </si>
  <si>
    <t>1,5*ΔNpil</t>
  </si>
  <si>
    <t>Momento massimo [kNm]</t>
  </si>
  <si>
    <t>Momento minimo [kNm]</t>
  </si>
  <si>
    <t>Sforzo Normale massimo [kN]</t>
  </si>
  <si>
    <t>Sforzo Normale minimo [kN]</t>
  </si>
  <si>
    <t xml:space="preserve">Combinazioni </t>
  </si>
  <si>
    <r>
      <t xml:space="preserve">N </t>
    </r>
    <r>
      <rPr>
        <vertAlign val="subscript"/>
        <sz val="11"/>
        <color theme="1"/>
        <rFont val="Calibri"/>
        <family val="2"/>
        <scheme val="minor"/>
      </rPr>
      <t>max</t>
    </r>
  </si>
  <si>
    <r>
      <t>M</t>
    </r>
    <r>
      <rPr>
        <vertAlign val="subscript"/>
        <sz val="11"/>
        <color theme="1"/>
        <rFont val="Calibri"/>
        <family val="2"/>
        <scheme val="minor"/>
      </rPr>
      <t>max</t>
    </r>
    <r>
      <rPr>
        <sz val="11"/>
        <color theme="1"/>
        <rFont val="Calibri"/>
        <family val="2"/>
        <scheme val="minor"/>
      </rPr>
      <t>[kNm]</t>
    </r>
  </si>
  <si>
    <r>
      <t xml:space="preserve">N </t>
    </r>
    <r>
      <rPr>
        <vertAlign val="subscript"/>
        <sz val="11"/>
        <color theme="1"/>
        <rFont val="Calibri"/>
        <family val="2"/>
        <scheme val="minor"/>
      </rPr>
      <t>min</t>
    </r>
    <r>
      <rPr>
        <sz val="11"/>
        <color theme="1"/>
        <rFont val="Calibri"/>
        <family val="2"/>
        <scheme val="minor"/>
      </rPr>
      <t>[kN]</t>
    </r>
  </si>
  <si>
    <r>
      <t>M</t>
    </r>
    <r>
      <rPr>
        <vertAlign val="subscript"/>
        <sz val="11"/>
        <color theme="1"/>
        <rFont val="Calibri"/>
        <family val="2"/>
        <scheme val="minor"/>
      </rPr>
      <t>min</t>
    </r>
    <r>
      <rPr>
        <sz val="11"/>
        <color theme="1"/>
        <rFont val="Calibri"/>
        <family val="2"/>
        <scheme val="minor"/>
      </rPr>
      <t>[kNm]</t>
    </r>
  </si>
  <si>
    <r>
      <t xml:space="preserve">Considerando 6 </t>
    </r>
    <r>
      <rPr>
        <sz val="14"/>
        <color rgb="FFFF0000"/>
        <rFont val="Calibri"/>
        <family val="2"/>
      </rPr>
      <t>Φ20</t>
    </r>
  </si>
  <si>
    <t>gd</t>
  </si>
  <si>
    <t>qd</t>
  </si>
  <si>
    <r>
      <t xml:space="preserve">Categoria F, Remesse e parcheggi (veicoli </t>
    </r>
    <r>
      <rPr>
        <sz val="10"/>
        <color rgb="FFFF0000"/>
        <rFont val="Calibri"/>
        <family val="2"/>
      </rPr>
      <t>≤</t>
    </r>
    <r>
      <rPr>
        <sz val="10"/>
        <color rgb="FFFF0000"/>
        <rFont val="Calibri"/>
        <family val="2"/>
        <scheme val="minor"/>
      </rPr>
      <t>30kN)</t>
    </r>
  </si>
  <si>
    <r>
      <t xml:space="preserve">Neve (a quota </t>
    </r>
    <r>
      <rPr>
        <sz val="10"/>
        <color rgb="FFFF0000"/>
        <rFont val="Calibri"/>
        <family val="2"/>
      </rPr>
      <t>≤1000m s.l.m.</t>
    </r>
    <r>
      <rPr>
        <sz val="10"/>
        <color rgb="FFFF0000"/>
        <rFont val="Calibri"/>
        <family val="2"/>
        <scheme val="minor"/>
      </rPr>
      <t>)</t>
    </r>
  </si>
  <si>
    <r>
      <t>Neve (a quota &gt;</t>
    </r>
    <r>
      <rPr>
        <sz val="10"/>
        <color rgb="FFFF0000"/>
        <rFont val="Calibri"/>
        <family val="2"/>
      </rPr>
      <t>1000m s.l.m.</t>
    </r>
    <r>
      <rPr>
        <sz val="10"/>
        <color rgb="FFFF0000"/>
        <rFont val="Calibri"/>
        <family val="2"/>
        <scheme val="minor"/>
      </rPr>
      <t>)</t>
    </r>
  </si>
  <si>
    <t>Pilastri (30x80)</t>
  </si>
  <si>
    <t>TRAVE 103</t>
  </si>
  <si>
    <t>TRAVE 102</t>
  </si>
  <si>
    <t>TRAVE 101</t>
  </si>
  <si>
    <t>TRAVE 104</t>
  </si>
  <si>
    <t>TRAVE 105</t>
  </si>
  <si>
    <t>TRAVE 106</t>
  </si>
  <si>
    <t>TRAVE 107</t>
  </si>
  <si>
    <t>TRAVE 108</t>
  </si>
  <si>
    <t>TRAVE 109</t>
  </si>
  <si>
    <t xml:space="preserve">Solaio di Copertura </t>
  </si>
  <si>
    <r>
      <t>impermeabilizzazione [kN/m</t>
    </r>
    <r>
      <rPr>
        <vertAlign val="superscript"/>
        <sz val="11"/>
        <color theme="1"/>
        <rFont val="Calibri"/>
        <family val="2"/>
        <scheme val="minor"/>
      </rPr>
      <t>2</t>
    </r>
    <r>
      <rPr>
        <sz val="11"/>
        <color theme="1"/>
        <rFont val="Calibri"/>
        <family val="2"/>
        <scheme val="minor"/>
      </rPr>
      <t>]</t>
    </r>
  </si>
  <si>
    <t>peso proprio solaio [kN/m2]</t>
  </si>
  <si>
    <r>
      <t xml:space="preserve">Categoria F, Remesse e parcheggi (veicoli </t>
    </r>
    <r>
      <rPr>
        <sz val="9"/>
        <color rgb="FFFF0000"/>
        <rFont val="Calibri"/>
        <family val="2"/>
      </rPr>
      <t>≤</t>
    </r>
    <r>
      <rPr>
        <sz val="9"/>
        <color rgb="FFFF0000"/>
        <rFont val="Calibri"/>
        <family val="2"/>
        <scheme val="minor"/>
      </rPr>
      <t>30kN)</t>
    </r>
  </si>
  <si>
    <r>
      <t xml:space="preserve">Neve (a quota </t>
    </r>
    <r>
      <rPr>
        <sz val="9"/>
        <color rgb="FFFF0000"/>
        <rFont val="Calibri"/>
        <family val="2"/>
      </rPr>
      <t>≤1000m s.l.m.</t>
    </r>
    <r>
      <rPr>
        <sz val="9"/>
        <color rgb="FFFF0000"/>
        <rFont val="Calibri"/>
        <family val="2"/>
        <scheme val="minor"/>
      </rPr>
      <t>)</t>
    </r>
  </si>
  <si>
    <r>
      <t>Neve (a quota &gt;</t>
    </r>
    <r>
      <rPr>
        <sz val="9"/>
        <color rgb="FFFF0000"/>
        <rFont val="Calibri"/>
        <family val="2"/>
      </rPr>
      <t>1000m s.l.m.</t>
    </r>
    <r>
      <rPr>
        <sz val="9"/>
        <color rgb="FFFF0000"/>
        <rFont val="Calibri"/>
        <family val="2"/>
        <scheme val="minor"/>
      </rPr>
      <t>)</t>
    </r>
  </si>
  <si>
    <r>
      <t>pavimento (granito) [kN/m</t>
    </r>
    <r>
      <rPr>
        <vertAlign val="superscript"/>
        <sz val="11"/>
        <rFont val="Calibri"/>
        <family val="2"/>
        <scheme val="minor"/>
      </rPr>
      <t>2</t>
    </r>
    <r>
      <rPr>
        <sz val="11"/>
        <rFont val="Calibri"/>
        <family val="2"/>
        <scheme val="minor"/>
      </rPr>
      <t>]</t>
    </r>
  </si>
  <si>
    <r>
      <t>peso proprio scala [kN/m</t>
    </r>
    <r>
      <rPr>
        <vertAlign val="superscript"/>
        <sz val="11"/>
        <rFont val="Calibri"/>
        <family val="2"/>
        <scheme val="minor"/>
      </rPr>
      <t>2</t>
    </r>
    <r>
      <rPr>
        <sz val="11"/>
        <rFont val="Calibri"/>
        <family val="2"/>
        <scheme val="minor"/>
      </rPr>
      <t>]</t>
    </r>
  </si>
  <si>
    <t>trave (30x60)</t>
  </si>
  <si>
    <t>trave (30x22)</t>
  </si>
  <si>
    <r>
      <t xml:space="preserve">Considerando 5 </t>
    </r>
    <r>
      <rPr>
        <sz val="14"/>
        <color rgb="FFFF0000"/>
        <rFont val="Calibri"/>
        <family val="2"/>
      </rPr>
      <t>Φ20</t>
    </r>
  </si>
  <si>
    <r>
      <t xml:space="preserve">Categoria F, Remesse e parcheggi (veicoli </t>
    </r>
    <r>
      <rPr>
        <sz val="8"/>
        <color rgb="FFFF0000"/>
        <rFont val="Calibri"/>
        <family val="2"/>
      </rPr>
      <t>≤</t>
    </r>
    <r>
      <rPr>
        <sz val="8"/>
        <color rgb="FFFF0000"/>
        <rFont val="Calibri"/>
        <family val="2"/>
        <scheme val="minor"/>
      </rPr>
      <t>30kN)</t>
    </r>
  </si>
  <si>
    <r>
      <t xml:space="preserve">Neve (a quota </t>
    </r>
    <r>
      <rPr>
        <sz val="8"/>
        <color rgb="FFFF0000"/>
        <rFont val="Calibri"/>
        <family val="2"/>
      </rPr>
      <t>≤1000m s.l.m.</t>
    </r>
    <r>
      <rPr>
        <sz val="8"/>
        <color rgb="FFFF0000"/>
        <rFont val="Calibri"/>
        <family val="2"/>
        <scheme val="minor"/>
      </rPr>
      <t>)</t>
    </r>
  </si>
  <si>
    <r>
      <t>Neve (a quota &gt;</t>
    </r>
    <r>
      <rPr>
        <sz val="8"/>
        <color rgb="FFFF0000"/>
        <rFont val="Calibri"/>
        <family val="2"/>
      </rPr>
      <t>1000m s.l.m.</t>
    </r>
    <r>
      <rPr>
        <sz val="8"/>
        <color rgb="FFFF0000"/>
        <rFont val="Calibri"/>
        <family val="2"/>
        <scheme val="minor"/>
      </rPr>
      <t>)</t>
    </r>
  </si>
  <si>
    <t>CAMPATE DIREZIONE 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</si>
</sst>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
  </numFmts>
  <fonts count="33" x14ac:knownFonts="1">
    <font>
      <sz val="11"/>
      <color theme="1"/>
      <name val="Calibri"/>
      <family val="2"/>
      <scheme val="minor"/>
    </font>
    <font>
      <vertAlign val="superscript"/>
      <sz val="11"/>
      <color theme="1"/>
      <name val="Calibri"/>
      <family val="2"/>
      <scheme val="minor"/>
    </font>
    <font>
      <sz val="9"/>
      <color indexed="81"/>
      <name val="Tahoma"/>
      <family val="2"/>
    </font>
    <font>
      <b/>
      <sz val="9"/>
      <color indexed="81"/>
      <name val="Tahoma"/>
      <family val="2"/>
    </font>
    <font>
      <vertAlign val="superscript"/>
      <sz val="9"/>
      <color indexed="81"/>
      <name val="Tahoma"/>
      <family val="2"/>
    </font>
    <font>
      <sz val="11"/>
      <color rgb="FFFF0000"/>
      <name val="Calibri"/>
      <family val="2"/>
      <scheme val="minor"/>
    </font>
    <font>
      <sz val="11"/>
      <color theme="1"/>
      <name val="Calibri"/>
      <family val="2"/>
    </font>
    <font>
      <sz val="11"/>
      <color rgb="FFFF0000"/>
      <name val="Calibri"/>
      <family val="2"/>
    </font>
    <font>
      <sz val="12"/>
      <color rgb="FFFF0000"/>
      <name val="Calibri"/>
      <family val="2"/>
      <scheme val="minor"/>
    </font>
    <font>
      <sz val="12"/>
      <color rgb="FFFF0000"/>
      <name val="Calibri"/>
      <family val="2"/>
    </font>
    <font>
      <vertAlign val="subscript"/>
      <sz val="12"/>
      <color rgb="FFFF0000"/>
      <name val="Calibri"/>
      <family val="2"/>
    </font>
    <font>
      <sz val="11"/>
      <name val="Calibri"/>
      <family val="2"/>
      <scheme val="minor"/>
    </font>
    <font>
      <sz val="11"/>
      <color rgb="FF0070C0"/>
      <name val="Calibri"/>
      <family val="2"/>
      <scheme val="minor"/>
    </font>
    <font>
      <sz val="8"/>
      <color rgb="FF0070C0"/>
      <name val="Calibri"/>
      <family val="2"/>
      <scheme val="minor"/>
    </font>
    <font>
      <sz val="11"/>
      <color theme="0" tint="-0.34998626667073579"/>
      <name val="Calibri"/>
      <family val="2"/>
      <scheme val="minor"/>
    </font>
    <font>
      <sz val="8"/>
      <color theme="1"/>
      <name val="Calibri"/>
      <family val="2"/>
      <scheme val="minor"/>
    </font>
    <font>
      <vertAlign val="subscript"/>
      <sz val="11"/>
      <color theme="1"/>
      <name val="Calibri"/>
      <family val="2"/>
      <scheme val="minor"/>
    </font>
    <font>
      <sz val="14"/>
      <color rgb="FFFF0000"/>
      <name val="Calibri"/>
      <family val="2"/>
      <scheme val="minor"/>
    </font>
    <font>
      <sz val="11"/>
      <color theme="9" tint="-0.499984740745262"/>
      <name val="Calibri"/>
      <family val="2"/>
      <scheme val="minor"/>
    </font>
    <font>
      <sz val="16"/>
      <color rgb="FFFF0000"/>
      <name val="Calibri"/>
      <family val="2"/>
      <scheme val="minor"/>
    </font>
    <font>
      <vertAlign val="superscript"/>
      <sz val="11"/>
      <name val="Calibri"/>
      <family val="2"/>
      <scheme val="minor"/>
    </font>
    <font>
      <sz val="12"/>
      <color theme="1"/>
      <name val="Calibri"/>
      <family val="2"/>
      <scheme val="minor"/>
    </font>
    <font>
      <sz val="12"/>
      <color theme="1"/>
      <name val="Calibri"/>
      <family val="2"/>
    </font>
    <font>
      <sz val="14"/>
      <color theme="1"/>
      <name val="Calibri"/>
      <family val="2"/>
    </font>
    <font>
      <sz val="14"/>
      <color theme="1"/>
      <name val="Calibri"/>
      <family val="2"/>
      <scheme val="minor"/>
    </font>
    <font>
      <sz val="14"/>
      <color rgb="FFFF0000"/>
      <name val="Calibri"/>
      <family val="2"/>
    </font>
    <font>
      <sz val="10"/>
      <color rgb="FFFF0000"/>
      <name val="Calibri"/>
      <family val="2"/>
      <scheme val="minor"/>
    </font>
    <font>
      <sz val="10"/>
      <color rgb="FFFF0000"/>
      <name val="Calibri"/>
      <family val="2"/>
    </font>
    <font>
      <sz val="14"/>
      <name val="Calibri"/>
      <family val="2"/>
      <scheme val="minor"/>
    </font>
    <font>
      <sz val="9"/>
      <color rgb="FFFF0000"/>
      <name val="Calibri"/>
      <family val="2"/>
      <scheme val="minor"/>
    </font>
    <font>
      <sz val="9"/>
      <color rgb="FFFF0000"/>
      <name val="Calibri"/>
      <family val="2"/>
    </font>
    <font>
      <sz val="8"/>
      <color rgb="FFFF0000"/>
      <name val="Calibri"/>
      <family val="2"/>
      <scheme val="minor"/>
    </font>
    <font>
      <sz val="8"/>
      <color rgb="FFFF0000"/>
      <name val="Calibri"/>
      <family val="2"/>
    </font>
  </fonts>
  <fills count="13">
    <fill>
      <patternFill patternType="none"/>
    </fill>
    <fill>
      <patternFill patternType="gray125"/>
    </fill>
    <fill>
      <patternFill patternType="solid">
        <fgColor rgb="FF00B0F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tint="-0.499984740745262"/>
        <bgColor indexed="64"/>
      </patternFill>
    </fill>
    <fill>
      <patternFill patternType="solid">
        <fgColor theme="4" tint="0.39997558519241921"/>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9" tint="0.39997558519241921"/>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style="thin">
        <color auto="1"/>
      </left>
      <right/>
      <top/>
      <bottom/>
      <diagonal/>
    </border>
  </borders>
  <cellStyleXfs count="1">
    <xf numFmtId="0" fontId="0" fillId="0" borderId="0"/>
  </cellStyleXfs>
  <cellXfs count="191">
    <xf numFmtId="0" fontId="0" fillId="0" borderId="0" xfId="0"/>
    <xf numFmtId="0" fontId="6" fillId="0" borderId="1" xfId="0" applyFont="1" applyBorder="1" applyAlignment="1">
      <alignment horizontal="center" vertical="center"/>
    </xf>
    <xf numFmtId="0" fontId="0" fillId="0" borderId="1" xfId="0" applyBorder="1" applyAlignment="1">
      <alignment vertical="center"/>
    </xf>
    <xf numFmtId="165" fontId="0" fillId="0" borderId="1" xfId="0" applyNumberFormat="1" applyBorder="1" applyAlignment="1">
      <alignment horizontal="center" vertical="center"/>
    </xf>
    <xf numFmtId="165" fontId="5" fillId="0" borderId="1" xfId="0" applyNumberFormat="1" applyFont="1" applyBorder="1" applyAlignment="1">
      <alignment horizontal="center" vertical="center"/>
    </xf>
    <xf numFmtId="2" fontId="0" fillId="0" borderId="1" xfId="0" applyNumberFormat="1" applyBorder="1" applyAlignment="1">
      <alignment horizontal="center" vertical="center"/>
    </xf>
    <xf numFmtId="165" fontId="0" fillId="0" borderId="1" xfId="0" applyNumberFormat="1" applyFont="1" applyBorder="1" applyAlignment="1">
      <alignment horizontal="center" vertical="center"/>
    </xf>
    <xf numFmtId="0" fontId="11" fillId="5" borderId="1" xfId="0" applyFont="1" applyFill="1" applyBorder="1"/>
    <xf numFmtId="1" fontId="0" fillId="0" borderId="1" xfId="0" applyNumberFormat="1" applyBorder="1" applyAlignment="1">
      <alignment horizontal="center" vertical="center"/>
    </xf>
    <xf numFmtId="165" fontId="0" fillId="0" borderId="1" xfId="0" applyNumberFormat="1" applyBorder="1" applyAlignment="1">
      <alignment horizontal="center"/>
    </xf>
    <xf numFmtId="1" fontId="0" fillId="0" borderId="1" xfId="0" applyNumberFormat="1" applyBorder="1" applyAlignment="1">
      <alignment horizontal="center"/>
    </xf>
    <xf numFmtId="2" fontId="5" fillId="3" borderId="1" xfId="0" applyNumberFormat="1" applyFont="1" applyFill="1" applyBorder="1" applyAlignment="1">
      <alignment horizontal="center" vertical="center"/>
    </xf>
    <xf numFmtId="0" fontId="0" fillId="0" borderId="0" xfId="0" applyBorder="1" applyAlignment="1">
      <alignment vertical="center"/>
    </xf>
    <xf numFmtId="164" fontId="5" fillId="0" borderId="1" xfId="0" applyNumberFormat="1" applyFont="1" applyBorder="1" applyAlignment="1">
      <alignment horizontal="center" vertical="center"/>
    </xf>
    <xf numFmtId="0" fontId="11" fillId="10" borderId="1" xfId="0" applyFont="1" applyFill="1" applyBorder="1"/>
    <xf numFmtId="164" fontId="0" fillId="8" borderId="1" xfId="0" applyNumberFormat="1" applyFill="1" applyBorder="1" applyAlignment="1">
      <alignment horizontal="center" vertical="center"/>
    </xf>
    <xf numFmtId="0" fontId="0" fillId="8" borderId="1" xfId="0" applyFill="1" applyBorder="1" applyAlignment="1">
      <alignment horizontal="center" vertical="center"/>
    </xf>
    <xf numFmtId="2" fontId="0" fillId="8" borderId="1" xfId="0" applyNumberFormat="1" applyFill="1" applyBorder="1" applyAlignment="1">
      <alignment horizontal="center" vertical="center"/>
    </xf>
    <xf numFmtId="165" fontId="0" fillId="8" borderId="1" xfId="0" applyNumberFormat="1" applyFill="1" applyBorder="1" applyAlignment="1">
      <alignment horizontal="center" vertical="center"/>
    </xf>
    <xf numFmtId="0" fontId="0" fillId="6" borderId="1" xfId="0" applyFill="1" applyBorder="1" applyAlignment="1">
      <alignment vertical="center"/>
    </xf>
    <xf numFmtId="1" fontId="0" fillId="10" borderId="1" xfId="0" applyNumberFormat="1" applyFill="1" applyBorder="1" applyAlignment="1">
      <alignment horizontal="center" vertical="center"/>
    </xf>
    <xf numFmtId="0" fontId="0" fillId="9" borderId="1" xfId="0" applyFill="1" applyBorder="1" applyAlignment="1">
      <alignment horizontal="center" vertical="center"/>
    </xf>
    <xf numFmtId="0" fontId="0" fillId="0" borderId="1" xfId="0" applyFont="1" applyBorder="1" applyAlignment="1">
      <alignment horizontal="center" vertical="center"/>
    </xf>
    <xf numFmtId="0" fontId="0" fillId="0" borderId="0" xfId="0" applyAlignment="1"/>
    <xf numFmtId="0" fontId="0" fillId="0" borderId="1" xfId="0" applyBorder="1"/>
    <xf numFmtId="2" fontId="0" fillId="0" borderId="0" xfId="0" applyNumberFormat="1"/>
    <xf numFmtId="0" fontId="11" fillId="3" borderId="1" xfId="0" applyFont="1" applyFill="1" applyBorder="1" applyAlignment="1">
      <alignment horizontal="center" vertical="center"/>
    </xf>
    <xf numFmtId="0" fontId="0" fillId="3" borderId="1" xfId="0" applyFill="1" applyBorder="1" applyAlignment="1">
      <alignment vertical="center"/>
    </xf>
    <xf numFmtId="0" fontId="18" fillId="4" borderId="1" xfId="0" applyFont="1" applyFill="1" applyBorder="1" applyAlignment="1">
      <alignment vertical="center"/>
    </xf>
    <xf numFmtId="165" fontId="0" fillId="0" borderId="1" xfId="0" applyNumberFormat="1" applyBorder="1"/>
    <xf numFmtId="166" fontId="5" fillId="8" borderId="1" xfId="0" applyNumberFormat="1" applyFont="1" applyFill="1" applyBorder="1" applyAlignment="1">
      <alignment horizontal="center" vertical="center"/>
    </xf>
    <xf numFmtId="165" fontId="0" fillId="3" borderId="1" xfId="0" applyNumberFormat="1" applyFill="1" applyBorder="1" applyAlignment="1">
      <alignment vertical="center"/>
    </xf>
    <xf numFmtId="165" fontId="0" fillId="3" borderId="1" xfId="0" applyNumberFormat="1" applyFill="1" applyBorder="1" applyAlignment="1">
      <alignment horizontal="center" vertical="center"/>
    </xf>
    <xf numFmtId="165" fontId="0" fillId="0" borderId="0" xfId="0" applyNumberFormat="1"/>
    <xf numFmtId="0" fontId="7" fillId="3" borderId="1" xfId="0" applyFont="1" applyFill="1" applyBorder="1" applyAlignment="1">
      <alignment horizontal="center" vertical="center"/>
    </xf>
    <xf numFmtId="164" fontId="0" fillId="0" borderId="0" xfId="0" applyNumberFormat="1" applyAlignment="1">
      <alignment horizontal="center" vertical="center"/>
    </xf>
    <xf numFmtId="164" fontId="0" fillId="0" borderId="1" xfId="0" applyNumberFormat="1" applyBorder="1" applyAlignment="1">
      <alignment horizontal="center" vertical="center"/>
    </xf>
    <xf numFmtId="0" fontId="0" fillId="3" borderId="1" xfId="0" applyFill="1" applyBorder="1" applyAlignment="1">
      <alignment horizontal="left" vertical="center"/>
    </xf>
    <xf numFmtId="0" fontId="0" fillId="3" borderId="1" xfId="0" applyFill="1" applyBorder="1" applyAlignment="1">
      <alignment horizontal="center" vertical="center"/>
    </xf>
    <xf numFmtId="0" fontId="5" fillId="0" borderId="1" xfId="0" applyFont="1" applyBorder="1" applyAlignment="1">
      <alignment horizontal="center"/>
    </xf>
    <xf numFmtId="0" fontId="0" fillId="6" borderId="1" xfId="0" applyFill="1" applyBorder="1" applyAlignment="1">
      <alignment horizontal="center" vertical="center"/>
    </xf>
    <xf numFmtId="0" fontId="0" fillId="3" borderId="1" xfId="0" applyFill="1" applyBorder="1" applyAlignment="1">
      <alignment horizontal="center" vertical="center"/>
    </xf>
    <xf numFmtId="0" fontId="0" fillId="3" borderId="1" xfId="0" applyFill="1"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7" xfId="0" applyBorder="1" applyAlignment="1">
      <alignment horizontal="center"/>
    </xf>
    <xf numFmtId="0" fontId="0" fillId="4" borderId="1" xfId="0"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vertical="center"/>
    </xf>
    <xf numFmtId="0" fontId="5" fillId="0" borderId="3" xfId="0" applyFont="1" applyBorder="1" applyAlignment="1">
      <alignment vertical="center"/>
    </xf>
    <xf numFmtId="0" fontId="0" fillId="3" borderId="1" xfId="0" applyFill="1" applyBorder="1" applyAlignment="1">
      <alignment horizontal="center" vertical="center"/>
    </xf>
    <xf numFmtId="0" fontId="0" fillId="0" borderId="1" xfId="0" applyBorder="1" applyAlignment="1">
      <alignment horizontal="center" vertical="center"/>
    </xf>
    <xf numFmtId="0" fontId="0" fillId="3" borderId="2" xfId="0" applyFill="1" applyBorder="1" applyAlignment="1">
      <alignment vertical="center"/>
    </xf>
    <xf numFmtId="0" fontId="0" fillId="3" borderId="3" xfId="0" applyFill="1" applyBorder="1" applyAlignment="1">
      <alignment vertical="center"/>
    </xf>
    <xf numFmtId="0" fontId="0" fillId="0" borderId="2" xfId="0" applyBorder="1" applyAlignment="1">
      <alignment vertical="center" wrapText="1"/>
    </xf>
    <xf numFmtId="0" fontId="0" fillId="0" borderId="3" xfId="0" applyBorder="1" applyAlignment="1">
      <alignment vertical="center" wrapText="1"/>
    </xf>
    <xf numFmtId="0" fontId="22" fillId="0" borderId="0" xfId="0" applyFont="1" applyBorder="1" applyAlignment="1">
      <alignment horizontal="center" vertical="center"/>
    </xf>
    <xf numFmtId="0" fontId="22" fillId="0" borderId="0" xfId="0" applyFont="1" applyBorder="1" applyAlignment="1">
      <alignment vertical="center"/>
    </xf>
    <xf numFmtId="0" fontId="23" fillId="0" borderId="0" xfId="0" applyFont="1" applyBorder="1" applyAlignment="1">
      <alignment vertical="center"/>
    </xf>
    <xf numFmtId="2" fontId="5" fillId="8" borderId="1" xfId="0" applyNumberFormat="1" applyFont="1" applyFill="1" applyBorder="1" applyAlignment="1">
      <alignment horizontal="center" vertical="center"/>
    </xf>
    <xf numFmtId="1" fontId="0" fillId="8" borderId="1" xfId="0" applyNumberFormat="1" applyFill="1" applyBorder="1" applyAlignment="1">
      <alignment horizontal="center" vertical="center"/>
    </xf>
    <xf numFmtId="0" fontId="24" fillId="0" borderId="0" xfId="0" applyFont="1" applyAlignment="1">
      <alignment vertical="center"/>
    </xf>
    <xf numFmtId="0" fontId="0" fillId="6" borderId="2" xfId="0" applyFill="1" applyBorder="1" applyAlignment="1">
      <alignment horizontal="left" vertical="center"/>
    </xf>
    <xf numFmtId="0" fontId="0" fillId="6" borderId="4" xfId="0" applyFill="1" applyBorder="1" applyAlignment="1">
      <alignment horizontal="left" vertical="center"/>
    </xf>
    <xf numFmtId="165" fontId="26" fillId="0" borderId="1" xfId="0" applyNumberFormat="1" applyFont="1" applyBorder="1" applyAlignment="1">
      <alignment horizontal="center" vertical="center"/>
    </xf>
    <xf numFmtId="0" fontId="26" fillId="0" borderId="1" xfId="0" applyFont="1" applyBorder="1" applyAlignment="1">
      <alignment horizontal="center" vertical="center"/>
    </xf>
    <xf numFmtId="0" fontId="0" fillId="6" borderId="3" xfId="0" applyFill="1" applyBorder="1" applyAlignment="1">
      <alignment horizontal="left" vertical="center"/>
    </xf>
    <xf numFmtId="0" fontId="0" fillId="3" borderId="1" xfId="0" applyFill="1" applyBorder="1" applyAlignment="1">
      <alignment horizontal="left" vertical="center"/>
    </xf>
    <xf numFmtId="0" fontId="0" fillId="6" borderId="1" xfId="0" applyFill="1" applyBorder="1" applyAlignment="1">
      <alignment horizontal="center" vertical="center"/>
    </xf>
    <xf numFmtId="0" fontId="0" fillId="3" borderId="1" xfId="0" applyFill="1" applyBorder="1" applyAlignment="1">
      <alignment horizontal="center" vertical="center"/>
    </xf>
    <xf numFmtId="0" fontId="11" fillId="3" borderId="1" xfId="0" applyFont="1" applyFill="1" applyBorder="1" applyAlignment="1">
      <alignment horizontal="left" vertical="center"/>
    </xf>
    <xf numFmtId="0" fontId="0" fillId="0" borderId="2" xfId="0"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0" xfId="0" applyAlignment="1">
      <alignment horizontal="center" vertical="center"/>
    </xf>
    <xf numFmtId="0" fontId="5" fillId="0" borderId="1" xfId="0" applyFont="1" applyBorder="1" applyAlignment="1">
      <alignment horizontal="center" vertical="center"/>
    </xf>
    <xf numFmtId="0" fontId="0" fillId="3" borderId="1" xfId="0" applyFill="1" applyBorder="1" applyAlignment="1">
      <alignment horizontal="center" vertical="center"/>
    </xf>
    <xf numFmtId="0" fontId="0" fillId="3" borderId="1" xfId="0" applyFill="1" applyBorder="1" applyAlignment="1">
      <alignment horizontal="left" vertical="center"/>
    </xf>
    <xf numFmtId="0" fontId="19" fillId="0" borderId="0" xfId="0" applyFont="1" applyBorder="1" applyAlignment="1">
      <alignment horizontal="center" vertical="center"/>
    </xf>
    <xf numFmtId="2" fontId="0" fillId="2" borderId="2" xfId="0" applyNumberFormat="1" applyFill="1" applyBorder="1" applyAlignment="1">
      <alignment horizontal="center" vertical="center"/>
    </xf>
    <xf numFmtId="0" fontId="0" fillId="2" borderId="1" xfId="0" applyFill="1" applyBorder="1" applyAlignment="1">
      <alignment vertical="center"/>
    </xf>
    <xf numFmtId="0" fontId="11" fillId="0" borderId="1" xfId="0" applyFont="1" applyBorder="1" applyAlignment="1">
      <alignment horizontal="left" vertical="center"/>
    </xf>
    <xf numFmtId="0" fontId="11" fillId="0" borderId="1" xfId="0" applyFont="1" applyBorder="1" applyAlignment="1">
      <alignment horizontal="center" vertical="center"/>
    </xf>
    <xf numFmtId="0" fontId="11" fillId="2" borderId="1" xfId="0" applyFont="1" applyFill="1" applyBorder="1" applyAlignment="1">
      <alignment horizontal="left" vertical="center"/>
    </xf>
    <xf numFmtId="2" fontId="11" fillId="2" borderId="1" xfId="0" applyNumberFormat="1" applyFont="1" applyFill="1" applyBorder="1" applyAlignment="1">
      <alignment horizontal="center" vertical="center"/>
    </xf>
    <xf numFmtId="2" fontId="14" fillId="0" borderId="1" xfId="0" applyNumberFormat="1" applyFont="1" applyBorder="1" applyAlignment="1">
      <alignment horizontal="center" vertical="center"/>
    </xf>
    <xf numFmtId="0" fontId="0" fillId="0" borderId="0" xfId="0" applyAlignment="1">
      <alignment vertical="center"/>
    </xf>
    <xf numFmtId="0" fontId="0" fillId="3" borderId="1" xfId="0" applyFill="1" applyBorder="1" applyAlignment="1">
      <alignment horizontal="left" vertical="center"/>
    </xf>
    <xf numFmtId="0" fontId="0" fillId="3" borderId="2" xfId="0" applyFill="1" applyBorder="1" applyAlignment="1">
      <alignment horizontal="left" vertical="center"/>
    </xf>
    <xf numFmtId="0" fontId="0" fillId="3" borderId="3" xfId="0" applyFill="1" applyBorder="1" applyAlignment="1">
      <alignment horizontal="left" vertical="center"/>
    </xf>
    <xf numFmtId="0" fontId="0" fillId="3" borderId="1" xfId="0" applyFill="1" applyBorder="1" applyAlignment="1">
      <alignment horizontal="center" vertical="center"/>
    </xf>
    <xf numFmtId="0" fontId="11" fillId="3" borderId="1" xfId="0" applyFont="1" applyFill="1" applyBorder="1" applyAlignment="1">
      <alignment horizontal="center" vertical="center"/>
    </xf>
    <xf numFmtId="0" fontId="11" fillId="4" borderId="1" xfId="0" applyFont="1" applyFill="1" applyBorder="1" applyAlignment="1">
      <alignment horizontal="center" vertical="center"/>
    </xf>
    <xf numFmtId="0" fontId="0" fillId="0" borderId="2" xfId="0" applyBorder="1" applyAlignment="1">
      <alignment horizontal="left" vertical="center"/>
    </xf>
    <xf numFmtId="0" fontId="0" fillId="0" borderId="4" xfId="0" applyBorder="1" applyAlignment="1">
      <alignment horizontal="left" vertical="center"/>
    </xf>
    <xf numFmtId="0" fontId="0" fillId="0" borderId="3" xfId="0" applyBorder="1" applyAlignment="1">
      <alignment horizontal="left" vertical="center"/>
    </xf>
    <xf numFmtId="0" fontId="29" fillId="0" borderId="1" xfId="0" applyFont="1" applyBorder="1" applyAlignment="1">
      <alignment horizontal="left" vertical="center"/>
    </xf>
    <xf numFmtId="0" fontId="0" fillId="2" borderId="2" xfId="0" applyFill="1" applyBorder="1" applyAlignment="1">
      <alignment horizontal="left" vertical="center"/>
    </xf>
    <xf numFmtId="0" fontId="0" fillId="2" borderId="4" xfId="0" applyFill="1" applyBorder="1" applyAlignment="1">
      <alignment horizontal="left" vertical="center"/>
    </xf>
    <xf numFmtId="0" fontId="0" fillId="2" borderId="3" xfId="0" applyFill="1" applyBorder="1" applyAlignment="1">
      <alignment horizontal="left" vertical="center"/>
    </xf>
    <xf numFmtId="0" fontId="0" fillId="3" borderId="2" xfId="0" applyFill="1" applyBorder="1" applyAlignment="1">
      <alignment horizontal="center" vertical="center"/>
    </xf>
    <xf numFmtId="0" fontId="0" fillId="3" borderId="4" xfId="0" applyFill="1" applyBorder="1" applyAlignment="1">
      <alignment horizontal="center" vertical="center"/>
    </xf>
    <xf numFmtId="0" fontId="0" fillId="3" borderId="3" xfId="0" applyFill="1" applyBorder="1" applyAlignment="1">
      <alignment horizontal="center" vertical="center"/>
    </xf>
    <xf numFmtId="0" fontId="8" fillId="3" borderId="1" xfId="0" applyFont="1" applyFill="1" applyBorder="1" applyAlignment="1">
      <alignment horizontal="center" vertical="center"/>
    </xf>
    <xf numFmtId="0" fontId="5" fillId="0" borderId="1" xfId="0" applyFont="1" applyBorder="1" applyAlignment="1">
      <alignment horizontal="center"/>
    </xf>
    <xf numFmtId="0" fontId="0" fillId="6" borderId="1" xfId="0" applyFill="1" applyBorder="1" applyAlignment="1">
      <alignment horizontal="center" vertical="center"/>
    </xf>
    <xf numFmtId="0" fontId="11" fillId="3" borderId="1" xfId="0" applyFont="1" applyFill="1" applyBorder="1" applyAlignment="1">
      <alignment horizontal="left" vertical="center"/>
    </xf>
    <xf numFmtId="0" fontId="11" fillId="3" borderId="2" xfId="0" applyFont="1" applyFill="1" applyBorder="1" applyAlignment="1">
      <alignment horizontal="left" vertical="center"/>
    </xf>
    <xf numFmtId="0" fontId="11" fillId="3" borderId="4" xfId="0" applyFont="1" applyFill="1" applyBorder="1" applyAlignment="1">
      <alignment horizontal="left" vertical="center"/>
    </xf>
    <xf numFmtId="0" fontId="11" fillId="3" borderId="3" xfId="0" applyFont="1" applyFill="1" applyBorder="1" applyAlignment="1">
      <alignment horizontal="left" vertical="center"/>
    </xf>
    <xf numFmtId="0" fontId="0" fillId="6" borderId="2" xfId="0" applyFill="1" applyBorder="1" applyAlignment="1">
      <alignment horizontal="left" vertical="center"/>
    </xf>
    <xf numFmtId="0" fontId="0" fillId="6" borderId="4" xfId="0" applyFill="1" applyBorder="1" applyAlignment="1">
      <alignment horizontal="left" vertical="center"/>
    </xf>
    <xf numFmtId="0" fontId="0" fillId="6" borderId="2" xfId="0" applyFill="1" applyBorder="1" applyAlignment="1">
      <alignment horizontal="center" vertical="center"/>
    </xf>
    <xf numFmtId="0" fontId="0" fillId="6" borderId="4" xfId="0" applyFill="1" applyBorder="1" applyAlignment="1">
      <alignment horizontal="center" vertical="center"/>
    </xf>
    <xf numFmtId="0" fontId="0" fillId="6" borderId="3" xfId="0" applyFill="1" applyBorder="1" applyAlignment="1">
      <alignment horizontal="center" vertical="center"/>
    </xf>
    <xf numFmtId="0" fontId="0" fillId="7" borderId="2" xfId="0" applyFill="1" applyBorder="1" applyAlignment="1">
      <alignment horizontal="center" vertical="center"/>
    </xf>
    <xf numFmtId="0" fontId="0" fillId="7" borderId="3" xfId="0" applyFill="1" applyBorder="1" applyAlignment="1">
      <alignment horizontal="center" vertical="center"/>
    </xf>
    <xf numFmtId="0" fontId="0" fillId="3" borderId="4" xfId="0" applyFill="1" applyBorder="1" applyAlignment="1">
      <alignment horizontal="left" vertical="center"/>
    </xf>
    <xf numFmtId="0" fontId="5" fillId="6" borderId="1" xfId="0" applyFont="1" applyFill="1" applyBorder="1" applyAlignment="1">
      <alignment horizontal="center" vertical="center"/>
    </xf>
    <xf numFmtId="0" fontId="12" fillId="0" borderId="2" xfId="0" applyFont="1" applyBorder="1" applyAlignment="1">
      <alignment horizontal="center"/>
    </xf>
    <xf numFmtId="0" fontId="12" fillId="0" borderId="4" xfId="0" applyFont="1" applyBorder="1" applyAlignment="1">
      <alignment horizontal="center"/>
    </xf>
    <xf numFmtId="0" fontId="12" fillId="0" borderId="3" xfId="0" applyFont="1" applyBorder="1" applyAlignment="1">
      <alignment horizontal="center"/>
    </xf>
    <xf numFmtId="0" fontId="12" fillId="0" borderId="1" xfId="0" applyFont="1" applyBorder="1" applyAlignment="1">
      <alignment horizontal="center" vertical="center"/>
    </xf>
    <xf numFmtId="0" fontId="17" fillId="0" borderId="7" xfId="0" applyFont="1" applyBorder="1" applyAlignment="1">
      <alignment horizontal="center" vertical="center"/>
    </xf>
    <xf numFmtId="0" fontId="17" fillId="0" borderId="5" xfId="0" applyFont="1" applyBorder="1" applyAlignment="1">
      <alignment horizontal="center" vertical="center"/>
    </xf>
    <xf numFmtId="0" fontId="17" fillId="3" borderId="1" xfId="0" applyFont="1" applyFill="1" applyBorder="1" applyAlignment="1">
      <alignment horizontal="center" vertical="center"/>
    </xf>
    <xf numFmtId="0" fontId="0" fillId="0" borderId="1" xfId="0" applyBorder="1" applyAlignment="1">
      <alignment horizontal="center" vertical="center" wrapText="1"/>
    </xf>
    <xf numFmtId="0" fontId="0" fillId="12" borderId="8" xfId="0" applyFill="1" applyBorder="1" applyAlignment="1">
      <alignment horizontal="center" vertical="center"/>
    </xf>
    <xf numFmtId="0" fontId="0" fillId="12" borderId="7" xfId="0" applyFill="1" applyBorder="1" applyAlignment="1">
      <alignment horizontal="center" vertical="center"/>
    </xf>
    <xf numFmtId="0" fontId="0" fillId="12" borderId="9" xfId="0" applyFill="1" applyBorder="1" applyAlignment="1">
      <alignment horizontal="center" vertical="center"/>
    </xf>
    <xf numFmtId="0" fontId="0" fillId="12" borderId="10" xfId="0" applyFill="1" applyBorder="1" applyAlignment="1">
      <alignment horizontal="center" vertical="center"/>
    </xf>
    <xf numFmtId="0" fontId="0" fillId="12" borderId="5" xfId="0" applyFill="1" applyBorder="1" applyAlignment="1">
      <alignment horizontal="center" vertical="center"/>
    </xf>
    <xf numFmtId="0" fontId="0" fillId="12" borderId="6" xfId="0" applyFill="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7" fillId="3" borderId="2"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3" xfId="0" applyFont="1" applyFill="1" applyBorder="1" applyAlignment="1">
      <alignment horizontal="center" vertical="center"/>
    </xf>
    <xf numFmtId="0" fontId="28" fillId="12" borderId="8" xfId="0" applyFont="1" applyFill="1" applyBorder="1" applyAlignment="1">
      <alignment horizontal="center" vertical="center"/>
    </xf>
    <xf numFmtId="0" fontId="28" fillId="12" borderId="7" xfId="0" applyFont="1" applyFill="1" applyBorder="1" applyAlignment="1">
      <alignment horizontal="center" vertical="center"/>
    </xf>
    <xf numFmtId="0" fontId="28" fillId="12" borderId="9" xfId="0" applyFont="1" applyFill="1" applyBorder="1" applyAlignment="1">
      <alignment horizontal="center" vertical="center"/>
    </xf>
    <xf numFmtId="0" fontId="28" fillId="12" borderId="10" xfId="0" applyFont="1" applyFill="1" applyBorder="1" applyAlignment="1">
      <alignment horizontal="center" vertical="center"/>
    </xf>
    <xf numFmtId="0" fontId="28" fillId="12" borderId="5" xfId="0" applyFont="1" applyFill="1" applyBorder="1" applyAlignment="1">
      <alignment horizontal="center" vertical="center"/>
    </xf>
    <xf numFmtId="0" fontId="28" fillId="12" borderId="6" xfId="0" applyFont="1" applyFill="1" applyBorder="1" applyAlignment="1">
      <alignment horizontal="center" vertical="center"/>
    </xf>
    <xf numFmtId="0" fontId="19"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6" xfId="0" applyFont="1" applyBorder="1" applyAlignment="1">
      <alignment horizontal="center" vertical="center"/>
    </xf>
    <xf numFmtId="0" fontId="0" fillId="0" borderId="0" xfId="0" applyBorder="1" applyAlignment="1">
      <alignment horizontal="center" vertical="center"/>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8" fillId="3" borderId="2"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3" xfId="0" applyFont="1" applyFill="1" applyBorder="1" applyAlignment="1">
      <alignment horizontal="center" vertical="center"/>
    </xf>
    <xf numFmtId="0" fontId="0" fillId="11" borderId="2" xfId="0" applyFill="1" applyBorder="1" applyAlignment="1">
      <alignment horizontal="center" vertical="center"/>
    </xf>
    <xf numFmtId="0" fontId="0" fillId="11" borderId="4" xfId="0" applyFill="1" applyBorder="1" applyAlignment="1">
      <alignment horizontal="center" vertical="center"/>
    </xf>
    <xf numFmtId="0" fontId="0" fillId="11" borderId="3" xfId="0" applyFill="1" applyBorder="1" applyAlignment="1">
      <alignment horizontal="center" vertical="center"/>
    </xf>
    <xf numFmtId="165" fontId="0" fillId="3" borderId="2" xfId="0" applyNumberFormat="1" applyFill="1" applyBorder="1" applyAlignment="1">
      <alignment horizontal="left" vertical="center"/>
    </xf>
    <xf numFmtId="165" fontId="0" fillId="3" borderId="4" xfId="0" applyNumberFormat="1" applyFill="1" applyBorder="1" applyAlignment="1">
      <alignment horizontal="left" vertical="center"/>
    </xf>
    <xf numFmtId="165" fontId="0" fillId="3" borderId="3" xfId="0" applyNumberFormat="1" applyFill="1" applyBorder="1" applyAlignment="1">
      <alignment horizontal="left" vertical="center"/>
    </xf>
    <xf numFmtId="0" fontId="0" fillId="6" borderId="3" xfId="0" applyFill="1" applyBorder="1" applyAlignment="1">
      <alignment horizontal="left" vertical="center"/>
    </xf>
    <xf numFmtId="0" fontId="0" fillId="0" borderId="2" xfId="0" applyBorder="1" applyAlignment="1">
      <alignment horizontal="center"/>
    </xf>
    <xf numFmtId="0" fontId="0" fillId="0" borderId="3" xfId="0" applyBorder="1" applyAlignment="1">
      <alignment horizont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0" fillId="11" borderId="1" xfId="0" applyFill="1" applyBorder="1" applyAlignment="1">
      <alignment horizontal="center" vertical="center"/>
    </xf>
    <xf numFmtId="0" fontId="17" fillId="3" borderId="0" xfId="0" applyFont="1" applyFill="1" applyAlignment="1">
      <alignment horizontal="center" vertical="center"/>
    </xf>
    <xf numFmtId="0" fontId="31" fillId="0" borderId="2" xfId="0" applyFont="1" applyBorder="1" applyAlignment="1">
      <alignment horizontal="center" vertical="center"/>
    </xf>
    <xf numFmtId="0" fontId="31" fillId="0" borderId="4" xfId="0" applyFont="1" applyBorder="1" applyAlignment="1">
      <alignment horizontal="center" vertical="center"/>
    </xf>
    <xf numFmtId="0" fontId="31" fillId="0" borderId="3" xfId="0" applyFont="1" applyBorder="1" applyAlignment="1">
      <alignment horizontal="center" vertical="center"/>
    </xf>
    <xf numFmtId="0" fontId="0" fillId="6" borderId="1" xfId="0" applyFill="1" applyBorder="1" applyAlignment="1">
      <alignment horizontal="left" vertical="center"/>
    </xf>
    <xf numFmtId="0" fontId="21" fillId="6" borderId="2" xfId="0" applyFont="1" applyFill="1" applyBorder="1" applyAlignment="1">
      <alignment horizontal="center" vertical="center"/>
    </xf>
    <xf numFmtId="0" fontId="21" fillId="6" borderId="4" xfId="0" applyFont="1" applyFill="1" applyBorder="1" applyAlignment="1">
      <alignment horizontal="center" vertical="center"/>
    </xf>
    <xf numFmtId="0" fontId="21" fillId="6" borderId="3" xfId="0" applyFont="1" applyFill="1" applyBorder="1" applyAlignment="1">
      <alignment horizontal="center" vertical="center"/>
    </xf>
    <xf numFmtId="0" fontId="0" fillId="0" borderId="5" xfId="0" applyBorder="1" applyAlignment="1">
      <alignment horizontal="center" vertical="center"/>
    </xf>
    <xf numFmtId="0" fontId="5" fillId="6" borderId="1" xfId="0" applyFont="1" applyFill="1" applyBorder="1" applyAlignment="1">
      <alignment horizontal="left"/>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8" fillId="6" borderId="2" xfId="0" applyFont="1" applyFill="1" applyBorder="1" applyAlignment="1">
      <alignment horizontal="center" vertical="center"/>
    </xf>
    <xf numFmtId="0" fontId="8" fillId="6" borderId="4" xfId="0" applyFont="1" applyFill="1" applyBorder="1" applyAlignment="1">
      <alignment horizontal="center" vertical="center"/>
    </xf>
    <xf numFmtId="0" fontId="8" fillId="6" borderId="3" xfId="0" applyFont="1" applyFill="1" applyBorder="1" applyAlignment="1">
      <alignment horizontal="center" vertical="center"/>
    </xf>
    <xf numFmtId="0" fontId="28" fillId="12" borderId="11" xfId="0" applyFont="1" applyFill="1" applyBorder="1" applyAlignment="1">
      <alignment horizontal="center" vertical="center"/>
    </xf>
    <xf numFmtId="0" fontId="28" fillId="12" borderId="0" xfId="0" applyFont="1" applyFill="1" applyBorder="1" applyAlignment="1">
      <alignment horizontal="center" vertical="center"/>
    </xf>
  </cellXfs>
  <cellStyles count="1">
    <cellStyle name="Normale" xfId="0" builtinId="0"/>
  </cellStyles>
  <dxfs count="0"/>
  <tableStyles count="0" defaultTableStyle="TableStyleMedium2" defaultPivotStyle="PivotStyleLight16"/>
  <colors>
    <mruColors>
      <color rgb="FF66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4.3433298862461223E-2"/>
          <c:y val="2.2033898305084745E-2"/>
          <c:w val="0.93898655635987593"/>
          <c:h val="0.91694915254237286"/>
        </c:manualLayout>
      </c:layout>
      <c:scatterChart>
        <c:scatterStyle val="lineMarker"/>
        <c:varyColors val="0"/>
        <c:ser>
          <c:idx val="0"/>
          <c:order val="0"/>
          <c:tx>
            <c:v>SLD-Se</c:v>
          </c:tx>
          <c:spPr>
            <a:ln w="12700">
              <a:solidFill>
                <a:srgbClr val="000000"/>
              </a:solidFill>
              <a:prstDash val="solid"/>
            </a:ln>
          </c:spPr>
          <c:marker>
            <c:symbol val="none"/>
          </c:marker>
          <c:xVal>
            <c:numRef>
              <c:f>'[1]val x spettri'!$A$5:$A$52</c:f>
              <c:numCache>
                <c:formatCode>General</c:formatCode>
                <c:ptCount val="48"/>
                <c:pt idx="0">
                  <c:v>0</c:v>
                </c:pt>
                <c:pt idx="1">
                  <c:v>0.13862751483462707</c:v>
                </c:pt>
                <c:pt idx="2">
                  <c:v>0.41588254450388124</c:v>
                </c:pt>
                <c:pt idx="3">
                  <c:v>0.46908645968708518</c:v>
                </c:pt>
                <c:pt idx="4">
                  <c:v>0.52229037487028918</c:v>
                </c:pt>
                <c:pt idx="5">
                  <c:v>0.57549429005349317</c:v>
                </c:pt>
                <c:pt idx="6">
                  <c:v>0.62869820523669706</c:v>
                </c:pt>
                <c:pt idx="7">
                  <c:v>0.68190212041990106</c:v>
                </c:pt>
                <c:pt idx="8">
                  <c:v>0.73510603560310495</c:v>
                </c:pt>
                <c:pt idx="9">
                  <c:v>0.78830995078630894</c:v>
                </c:pt>
                <c:pt idx="10">
                  <c:v>0.84151386596951294</c:v>
                </c:pt>
                <c:pt idx="11">
                  <c:v>0.89471778115271694</c:v>
                </c:pt>
                <c:pt idx="12">
                  <c:v>0.94792169633592094</c:v>
                </c:pt>
                <c:pt idx="13">
                  <c:v>1.0011256115191247</c:v>
                </c:pt>
                <c:pt idx="14">
                  <c:v>1.0543295267023287</c:v>
                </c:pt>
                <c:pt idx="15">
                  <c:v>1.1075334418855327</c:v>
                </c:pt>
                <c:pt idx="16">
                  <c:v>1.1607373570687367</c:v>
                </c:pt>
                <c:pt idx="17">
                  <c:v>1.2139412722519407</c:v>
                </c:pt>
                <c:pt idx="18">
                  <c:v>1.2671451874351447</c:v>
                </c:pt>
                <c:pt idx="19">
                  <c:v>1.3203491026183487</c:v>
                </c:pt>
                <c:pt idx="20">
                  <c:v>1.3735530178015525</c:v>
                </c:pt>
                <c:pt idx="21">
                  <c:v>1.4267569329847565</c:v>
                </c:pt>
                <c:pt idx="22">
                  <c:v>1.4799608481679605</c:v>
                </c:pt>
                <c:pt idx="23">
                  <c:v>1.5331647633511643</c:v>
                </c:pt>
                <c:pt idx="24">
                  <c:v>1.5863686785343682</c:v>
                </c:pt>
                <c:pt idx="25">
                  <c:v>1.6395725937175722</c:v>
                </c:pt>
                <c:pt idx="26">
                  <c:v>1.6927765089007762</c:v>
                </c:pt>
                <c:pt idx="27">
                  <c:v>1.7459804240839802</c:v>
                </c:pt>
                <c:pt idx="28">
                  <c:v>1.799184339267184</c:v>
                </c:pt>
                <c:pt idx="29">
                  <c:v>1.852388254450388</c:v>
                </c:pt>
                <c:pt idx="30">
                  <c:v>1.905592169633592</c:v>
                </c:pt>
                <c:pt idx="31">
                  <c:v>1.9587960848167962</c:v>
                </c:pt>
                <c:pt idx="32">
                  <c:v>2.012</c:v>
                </c:pt>
                <c:pt idx="33">
                  <c:v>2.0778666666666665</c:v>
                </c:pt>
                <c:pt idx="34">
                  <c:v>2.1437333333333335</c:v>
                </c:pt>
                <c:pt idx="35">
                  <c:v>2.2096</c:v>
                </c:pt>
                <c:pt idx="36">
                  <c:v>2.2754666666666665</c:v>
                </c:pt>
                <c:pt idx="37">
                  <c:v>2.3413333333333335</c:v>
                </c:pt>
                <c:pt idx="38">
                  <c:v>2.4072</c:v>
                </c:pt>
                <c:pt idx="39">
                  <c:v>2.4730666666666665</c:v>
                </c:pt>
                <c:pt idx="40">
                  <c:v>2.5389333333333335</c:v>
                </c:pt>
                <c:pt idx="41">
                  <c:v>2.6048</c:v>
                </c:pt>
                <c:pt idx="42">
                  <c:v>2.6706666666666665</c:v>
                </c:pt>
                <c:pt idx="43">
                  <c:v>2.7365333333333335</c:v>
                </c:pt>
                <c:pt idx="44">
                  <c:v>2.8024</c:v>
                </c:pt>
                <c:pt idx="45">
                  <c:v>2.8682666666666665</c:v>
                </c:pt>
                <c:pt idx="46">
                  <c:v>2.9341333333333335</c:v>
                </c:pt>
                <c:pt idx="47">
                  <c:v>3</c:v>
                </c:pt>
              </c:numCache>
            </c:numRef>
          </c:xVal>
          <c:yVal>
            <c:numRef>
              <c:f>'[1]val x spettri'!$B$5:$B$52</c:f>
              <c:numCache>
                <c:formatCode>General</c:formatCode>
                <c:ptCount val="48"/>
                <c:pt idx="0">
                  <c:v>0.1545</c:v>
                </c:pt>
                <c:pt idx="1">
                  <c:v>0.39304800000000001</c:v>
                </c:pt>
                <c:pt idx="2">
                  <c:v>0.39304800000000001</c:v>
                </c:pt>
                <c:pt idx="3">
                  <c:v>0.34846838781320277</c:v>
                </c:pt>
                <c:pt idx="4">
                  <c:v>0.31297111763309299</c:v>
                </c:pt>
                <c:pt idx="5">
                  <c:v>0.2840372270886779</c:v>
                </c:pt>
                <c:pt idx="6">
                  <c:v>0.26000042785332939</c:v>
                </c:pt>
                <c:pt idx="7">
                  <c:v>0.23971446554749698</c:v>
                </c:pt>
                <c:pt idx="8">
                  <c:v>0.22236493027574195</c:v>
                </c:pt>
                <c:pt idx="9">
                  <c:v>0.20735727386050962</c:v>
                </c:pt>
                <c:pt idx="10">
                  <c:v>0.19424730710032476</c:v>
                </c:pt>
                <c:pt idx="11">
                  <c:v>0.18269649468859797</c:v>
                </c:pt>
                <c:pt idx="12">
                  <c:v>0.17244230508068731</c:v>
                </c:pt>
                <c:pt idx="13">
                  <c:v>0.16327801473795267</c:v>
                </c:pt>
                <c:pt idx="14">
                  <c:v>0.15503862712014521</c:v>
                </c:pt>
                <c:pt idx="15">
                  <c:v>0.14759085023552349</c:v>
                </c:pt>
                <c:pt idx="16">
                  <c:v>0.14082583054357714</c:v>
                </c:pt>
                <c:pt idx="17">
                  <c:v>0.13465379758357596</c:v>
                </c:pt>
                <c:pt idx="18">
                  <c:v>0.12900005774636447</c:v>
                </c:pt>
                <c:pt idx="19">
                  <c:v>0.12380195664010739</c:v>
                </c:pt>
                <c:pt idx="20">
                  <c:v>0.11900654742384183</c:v>
                </c:pt>
                <c:pt idx="21">
                  <c:v>0.11456878082954298</c:v>
                </c:pt>
                <c:pt idx="22">
                  <c:v>0.11045008559146037</c:v>
                </c:pt>
                <c:pt idx="23">
                  <c:v>0.10661724444727624</c:v>
                </c:pt>
                <c:pt idx="24">
                  <c:v>0.10304149632050376</c:v>
                </c:pt>
                <c:pt idx="25">
                  <c:v>9.9697813307264238E-2</c:v>
                </c:pt>
                <c:pt idx="26">
                  <c:v>9.6564314008768526E-2</c:v>
                </c:pt>
                <c:pt idx="27">
                  <c:v>9.3621784126199994E-2</c:v>
                </c:pt>
                <c:pt idx="28">
                  <c:v>9.0853282114905606E-2</c:v>
                </c:pt>
                <c:pt idx="29">
                  <c:v>8.8243812796503271E-2</c:v>
                </c:pt>
                <c:pt idx="30">
                  <c:v>8.5780055647264764E-2</c:v>
                </c:pt>
                <c:pt idx="31">
                  <c:v>8.3450137367131749E-2</c:v>
                </c:pt>
                <c:pt idx="32">
                  <c:v>8.124344053288346E-2</c:v>
                </c:pt>
                <c:pt idx="33">
                  <c:v>7.617437635289652E-2</c:v>
                </c:pt>
                <c:pt idx="34">
                  <c:v>7.1565339802853872E-2</c:v>
                </c:pt>
                <c:pt idx="35">
                  <c:v>6.7362304643473703E-2</c:v>
                </c:pt>
                <c:pt idx="36">
                  <c:v>6.3518949034705896E-2</c:v>
                </c:pt>
                <c:pt idx="37">
                  <c:v>5.9995373756641324E-2</c:v>
                </c:pt>
                <c:pt idx="38">
                  <c:v>5.6757062494206506E-2</c:v>
                </c:pt>
                <c:pt idx="39">
                  <c:v>5.377403331676419E-2</c:v>
                </c:pt>
                <c:pt idx="40">
                  <c:v>5.1020142201444671E-2</c:v>
                </c:pt>
                <c:pt idx="41">
                  <c:v>4.8472508242636513E-2</c:v>
                </c:pt>
                <c:pt idx="42">
                  <c:v>4.6111036842653844E-2</c:v>
                </c:pt>
                <c:pt idx="43">
                  <c:v>4.3918022249925366E-2</c:v>
                </c:pt>
                <c:pt idx="44">
                  <c:v>4.187781470493647E-2</c:v>
                </c:pt>
                <c:pt idx="45">
                  <c:v>3.9976540464476767E-2</c:v>
                </c:pt>
                <c:pt idx="46">
                  <c:v>3.8201865317138435E-2</c:v>
                </c:pt>
                <c:pt idx="47">
                  <c:v>3.6542794036949884E-2</c:v>
                </c:pt>
              </c:numCache>
            </c:numRef>
          </c:yVal>
          <c:smooth val="0"/>
        </c:ser>
        <c:ser>
          <c:idx val="5"/>
          <c:order val="1"/>
          <c:tx>
            <c:v>SLD-Sd</c:v>
          </c:tx>
          <c:spPr>
            <a:ln w="25400">
              <a:solidFill>
                <a:srgbClr val="000000"/>
              </a:solidFill>
              <a:prstDash val="solid"/>
            </a:ln>
          </c:spPr>
          <c:marker>
            <c:symbol val="none"/>
          </c:marker>
          <c:xVal>
            <c:numRef>
              <c:f>'[1]val x spettri'!$A$5:$A$52</c:f>
              <c:numCache>
                <c:formatCode>General</c:formatCode>
                <c:ptCount val="48"/>
                <c:pt idx="0">
                  <c:v>0</c:v>
                </c:pt>
                <c:pt idx="1">
                  <c:v>0.13862751483462707</c:v>
                </c:pt>
                <c:pt idx="2">
                  <c:v>0.41588254450388124</c:v>
                </c:pt>
                <c:pt idx="3">
                  <c:v>0.46908645968708518</c:v>
                </c:pt>
                <c:pt idx="4">
                  <c:v>0.52229037487028918</c:v>
                </c:pt>
                <c:pt idx="5">
                  <c:v>0.57549429005349317</c:v>
                </c:pt>
                <c:pt idx="6">
                  <c:v>0.62869820523669706</c:v>
                </c:pt>
                <c:pt idx="7">
                  <c:v>0.68190212041990106</c:v>
                </c:pt>
                <c:pt idx="8">
                  <c:v>0.73510603560310495</c:v>
                </c:pt>
                <c:pt idx="9">
                  <c:v>0.78830995078630894</c:v>
                </c:pt>
                <c:pt idx="10">
                  <c:v>0.84151386596951294</c:v>
                </c:pt>
                <c:pt idx="11">
                  <c:v>0.89471778115271694</c:v>
                </c:pt>
                <c:pt idx="12">
                  <c:v>0.94792169633592094</c:v>
                </c:pt>
                <c:pt idx="13">
                  <c:v>1.0011256115191247</c:v>
                </c:pt>
                <c:pt idx="14">
                  <c:v>1.0543295267023287</c:v>
                </c:pt>
                <c:pt idx="15">
                  <c:v>1.1075334418855327</c:v>
                </c:pt>
                <c:pt idx="16">
                  <c:v>1.1607373570687367</c:v>
                </c:pt>
                <c:pt idx="17">
                  <c:v>1.2139412722519407</c:v>
                </c:pt>
                <c:pt idx="18">
                  <c:v>1.2671451874351447</c:v>
                </c:pt>
                <c:pt idx="19">
                  <c:v>1.3203491026183487</c:v>
                </c:pt>
                <c:pt idx="20">
                  <c:v>1.3735530178015525</c:v>
                </c:pt>
                <c:pt idx="21">
                  <c:v>1.4267569329847565</c:v>
                </c:pt>
                <c:pt idx="22">
                  <c:v>1.4799608481679605</c:v>
                </c:pt>
                <c:pt idx="23">
                  <c:v>1.5331647633511643</c:v>
                </c:pt>
                <c:pt idx="24">
                  <c:v>1.5863686785343682</c:v>
                </c:pt>
                <c:pt idx="25">
                  <c:v>1.6395725937175722</c:v>
                </c:pt>
                <c:pt idx="26">
                  <c:v>1.6927765089007762</c:v>
                </c:pt>
                <c:pt idx="27">
                  <c:v>1.7459804240839802</c:v>
                </c:pt>
                <c:pt idx="28">
                  <c:v>1.799184339267184</c:v>
                </c:pt>
                <c:pt idx="29">
                  <c:v>1.852388254450388</c:v>
                </c:pt>
                <c:pt idx="30">
                  <c:v>1.905592169633592</c:v>
                </c:pt>
                <c:pt idx="31">
                  <c:v>1.9587960848167962</c:v>
                </c:pt>
                <c:pt idx="32">
                  <c:v>2.012</c:v>
                </c:pt>
                <c:pt idx="33">
                  <c:v>2.0778666666666665</c:v>
                </c:pt>
                <c:pt idx="34">
                  <c:v>2.1437333333333335</c:v>
                </c:pt>
                <c:pt idx="35">
                  <c:v>2.2096</c:v>
                </c:pt>
                <c:pt idx="36">
                  <c:v>2.2754666666666665</c:v>
                </c:pt>
                <c:pt idx="37">
                  <c:v>2.3413333333333335</c:v>
                </c:pt>
                <c:pt idx="38">
                  <c:v>2.4072</c:v>
                </c:pt>
                <c:pt idx="39">
                  <c:v>2.4730666666666665</c:v>
                </c:pt>
                <c:pt idx="40">
                  <c:v>2.5389333333333335</c:v>
                </c:pt>
                <c:pt idx="41">
                  <c:v>2.6048</c:v>
                </c:pt>
                <c:pt idx="42">
                  <c:v>2.6706666666666665</c:v>
                </c:pt>
                <c:pt idx="43">
                  <c:v>2.7365333333333335</c:v>
                </c:pt>
                <c:pt idx="44">
                  <c:v>2.8024</c:v>
                </c:pt>
                <c:pt idx="45">
                  <c:v>2.8682666666666665</c:v>
                </c:pt>
                <c:pt idx="46">
                  <c:v>2.9341333333333335</c:v>
                </c:pt>
                <c:pt idx="47">
                  <c:v>3</c:v>
                </c:pt>
              </c:numCache>
            </c:numRef>
          </c:xVal>
          <c:yVal>
            <c:numRef>
              <c:f>'[1]val x spettri'!$C$5:$C$52</c:f>
              <c:numCache>
                <c:formatCode>General</c:formatCode>
                <c:ptCount val="48"/>
                <c:pt idx="0">
                  <c:v>0.1545</c:v>
                </c:pt>
                <c:pt idx="1">
                  <c:v>0.26203199999999999</c:v>
                </c:pt>
                <c:pt idx="2">
                  <c:v>0.26203199999999999</c:v>
                </c:pt>
                <c:pt idx="3">
                  <c:v>0.23231225854213519</c:v>
                </c:pt>
                <c:pt idx="4">
                  <c:v>0.20864741175539533</c:v>
                </c:pt>
                <c:pt idx="5">
                  <c:v>0.18935815139245193</c:v>
                </c:pt>
                <c:pt idx="6">
                  <c:v>0.17333361856888624</c:v>
                </c:pt>
                <c:pt idx="7">
                  <c:v>0.15980964369833131</c:v>
                </c:pt>
                <c:pt idx="8">
                  <c:v>0.14824328685049462</c:v>
                </c:pt>
                <c:pt idx="9">
                  <c:v>0.13823818257367307</c:v>
                </c:pt>
                <c:pt idx="10">
                  <c:v>0.12949820473354984</c:v>
                </c:pt>
                <c:pt idx="11">
                  <c:v>0.12179766312573198</c:v>
                </c:pt>
                <c:pt idx="12">
                  <c:v>0.1149615367204582</c:v>
                </c:pt>
                <c:pt idx="13">
                  <c:v>0.10885200982530177</c:v>
                </c:pt>
                <c:pt idx="14">
                  <c:v>0.10335908474676346</c:v>
                </c:pt>
                <c:pt idx="15">
                  <c:v>9.8393900157015657E-2</c:v>
                </c:pt>
                <c:pt idx="16">
                  <c:v>9.3883887029051427E-2</c:v>
                </c:pt>
                <c:pt idx="17">
                  <c:v>8.9769198389050647E-2</c:v>
                </c:pt>
                <c:pt idx="18">
                  <c:v>8.6000038497576314E-2</c:v>
                </c:pt>
                <c:pt idx="19">
                  <c:v>8.2534637760071597E-2</c:v>
                </c:pt>
                <c:pt idx="20">
                  <c:v>7.9337698282561209E-2</c:v>
                </c:pt>
                <c:pt idx="21">
                  <c:v>7.6379187219695319E-2</c:v>
                </c:pt>
                <c:pt idx="22">
                  <c:v>7.3633390394306913E-2</c:v>
                </c:pt>
                <c:pt idx="23">
                  <c:v>7.1078162964850825E-2</c:v>
                </c:pt>
                <c:pt idx="24">
                  <c:v>6.869433088033583E-2</c:v>
                </c:pt>
                <c:pt idx="25">
                  <c:v>6.6465208871509487E-2</c:v>
                </c:pt>
                <c:pt idx="26">
                  <c:v>6.4376209339179022E-2</c:v>
                </c:pt>
                <c:pt idx="27">
                  <c:v>6.2414522750799992E-2</c:v>
                </c:pt>
                <c:pt idx="28">
                  <c:v>6.0568854743270402E-2</c:v>
                </c:pt>
                <c:pt idx="29">
                  <c:v>5.8829208531002181E-2</c:v>
                </c:pt>
                <c:pt idx="30">
                  <c:v>5.7186703764843173E-2</c:v>
                </c:pt>
                <c:pt idx="31">
                  <c:v>5.5633424911421168E-2</c:v>
                </c:pt>
                <c:pt idx="32">
                  <c:v>5.4162293688588971E-2</c:v>
                </c:pt>
                <c:pt idx="33">
                  <c:v>5.078291756859768E-2</c:v>
                </c:pt>
                <c:pt idx="34">
                  <c:v>4.7710226535235913E-2</c:v>
                </c:pt>
                <c:pt idx="35">
                  <c:v>4.4908203095649128E-2</c:v>
                </c:pt>
                <c:pt idx="36">
                  <c:v>4.2345966023137262E-2</c:v>
                </c:pt>
                <c:pt idx="37">
                  <c:v>3.9996915837760882E-2</c:v>
                </c:pt>
                <c:pt idx="38">
                  <c:v>3.7838041662804335E-2</c:v>
                </c:pt>
                <c:pt idx="39">
                  <c:v>3.5849355544509458E-2</c:v>
                </c:pt>
                <c:pt idx="40">
                  <c:v>3.4013428134296447E-2</c:v>
                </c:pt>
                <c:pt idx="41">
                  <c:v>3.2315005495091004E-2</c:v>
                </c:pt>
                <c:pt idx="42">
                  <c:v>3.0740691228435892E-2</c:v>
                </c:pt>
                <c:pt idx="43">
                  <c:v>2.9278681499950242E-2</c:v>
                </c:pt>
                <c:pt idx="44">
                  <c:v>2.7918543136624313E-2</c:v>
                </c:pt>
                <c:pt idx="45">
                  <c:v>2.6651026976317844E-2</c:v>
                </c:pt>
                <c:pt idx="46">
                  <c:v>2.546791021142562E-2</c:v>
                </c:pt>
                <c:pt idx="47">
                  <c:v>2.4361862691299922E-2</c:v>
                </c:pt>
              </c:numCache>
            </c:numRef>
          </c:yVal>
          <c:smooth val="0"/>
        </c:ser>
        <c:ser>
          <c:idx val="1"/>
          <c:order val="2"/>
          <c:tx>
            <c:v>SLV-Se</c:v>
          </c:tx>
          <c:spPr>
            <a:ln w="12700">
              <a:solidFill>
                <a:srgbClr val="0000FF"/>
              </a:solidFill>
              <a:prstDash val="solid"/>
            </a:ln>
          </c:spPr>
          <c:marker>
            <c:symbol val="none"/>
          </c:marker>
          <c:xVal>
            <c:numRef>
              <c:f>'[1]val x spettri'!$E$5:$E$52</c:f>
              <c:numCache>
                <c:formatCode>General</c:formatCode>
                <c:ptCount val="48"/>
                <c:pt idx="0">
                  <c:v>0</c:v>
                </c:pt>
                <c:pt idx="1">
                  <c:v>0.16414729650081863</c:v>
                </c:pt>
                <c:pt idx="2">
                  <c:v>0.49244188950245588</c:v>
                </c:pt>
                <c:pt idx="3">
                  <c:v>0.55869382651904065</c:v>
                </c:pt>
                <c:pt idx="4">
                  <c:v>0.62494576353562548</c:v>
                </c:pt>
                <c:pt idx="5">
                  <c:v>0.6911977005522103</c:v>
                </c:pt>
                <c:pt idx="6">
                  <c:v>0.75744963756879513</c:v>
                </c:pt>
                <c:pt idx="7">
                  <c:v>0.82370157458537996</c:v>
                </c:pt>
                <c:pt idx="8">
                  <c:v>0.88995351160196468</c:v>
                </c:pt>
                <c:pt idx="9">
                  <c:v>0.95620544861854961</c:v>
                </c:pt>
                <c:pt idx="10">
                  <c:v>1.0224573856351342</c:v>
                </c:pt>
                <c:pt idx="11">
                  <c:v>1.088709322651719</c:v>
                </c:pt>
                <c:pt idx="12">
                  <c:v>1.1549612596683039</c:v>
                </c:pt>
                <c:pt idx="13">
                  <c:v>1.2212131966848887</c:v>
                </c:pt>
                <c:pt idx="14">
                  <c:v>1.2874651337014735</c:v>
                </c:pt>
                <c:pt idx="15">
                  <c:v>1.3537170707180584</c:v>
                </c:pt>
                <c:pt idx="16">
                  <c:v>1.4199690077346432</c:v>
                </c:pt>
                <c:pt idx="17">
                  <c:v>1.486220944751228</c:v>
                </c:pt>
                <c:pt idx="18">
                  <c:v>1.5524728817678126</c:v>
                </c:pt>
                <c:pt idx="19">
                  <c:v>1.6187248187843974</c:v>
                </c:pt>
                <c:pt idx="20">
                  <c:v>1.6849767558009823</c:v>
                </c:pt>
                <c:pt idx="21">
                  <c:v>1.7512286928175671</c:v>
                </c:pt>
                <c:pt idx="22">
                  <c:v>1.8174806298341519</c:v>
                </c:pt>
                <c:pt idx="23">
                  <c:v>1.8837325668507368</c:v>
                </c:pt>
                <c:pt idx="24">
                  <c:v>1.9499845038673216</c:v>
                </c:pt>
                <c:pt idx="25">
                  <c:v>2.0162364408839064</c:v>
                </c:pt>
                <c:pt idx="26">
                  <c:v>2.082488377900491</c:v>
                </c:pt>
                <c:pt idx="27">
                  <c:v>2.1487403149170761</c:v>
                </c:pt>
                <c:pt idx="28">
                  <c:v>2.2149922519336607</c:v>
                </c:pt>
                <c:pt idx="29">
                  <c:v>2.2812441889502457</c:v>
                </c:pt>
                <c:pt idx="30">
                  <c:v>2.3474961259668308</c:v>
                </c:pt>
                <c:pt idx="31">
                  <c:v>2.4137480629834154</c:v>
                </c:pt>
                <c:pt idx="32">
                  <c:v>2.48</c:v>
                </c:pt>
                <c:pt idx="33">
                  <c:v>2.5146666666666668</c:v>
                </c:pt>
                <c:pt idx="34">
                  <c:v>2.5493333333333332</c:v>
                </c:pt>
                <c:pt idx="35">
                  <c:v>2.5840000000000001</c:v>
                </c:pt>
                <c:pt idx="36">
                  <c:v>2.6186666666666665</c:v>
                </c:pt>
                <c:pt idx="37">
                  <c:v>2.6533333333333333</c:v>
                </c:pt>
                <c:pt idx="38">
                  <c:v>2.6880000000000002</c:v>
                </c:pt>
                <c:pt idx="39">
                  <c:v>2.7226666666666666</c:v>
                </c:pt>
                <c:pt idx="40">
                  <c:v>2.7573333333333334</c:v>
                </c:pt>
                <c:pt idx="41">
                  <c:v>2.7919999999999998</c:v>
                </c:pt>
                <c:pt idx="42">
                  <c:v>2.8266666666666667</c:v>
                </c:pt>
                <c:pt idx="43">
                  <c:v>2.8613333333333335</c:v>
                </c:pt>
                <c:pt idx="44">
                  <c:v>2.8959999999999999</c:v>
                </c:pt>
                <c:pt idx="45">
                  <c:v>2.9306666666666668</c:v>
                </c:pt>
                <c:pt idx="46">
                  <c:v>2.9653333333333332</c:v>
                </c:pt>
                <c:pt idx="47">
                  <c:v>3</c:v>
                </c:pt>
              </c:numCache>
            </c:numRef>
          </c:xVal>
          <c:yVal>
            <c:numRef>
              <c:f>'[1]val x spettri'!$F$5:$F$52</c:f>
              <c:numCache>
                <c:formatCode>General</c:formatCode>
                <c:ptCount val="48"/>
                <c:pt idx="0">
                  <c:v>0.30023839999999996</c:v>
                </c:pt>
                <c:pt idx="1">
                  <c:v>0.76260553599999992</c:v>
                </c:pt>
                <c:pt idx="2">
                  <c:v>0.76260553599999992</c:v>
                </c:pt>
                <c:pt idx="3">
                  <c:v>0.67217301009513564</c:v>
                </c:pt>
                <c:pt idx="4">
                  <c:v>0.60091440410486952</c:v>
                </c:pt>
                <c:pt idx="5">
                  <c:v>0.54331620431151362</c:v>
                </c:pt>
                <c:pt idx="6">
                  <c:v>0.49579390162262088</c:v>
                </c:pt>
                <c:pt idx="7">
                  <c:v>0.45591622339911769</c:v>
                </c:pt>
                <c:pt idx="8">
                  <c:v>0.42197587424188332</c:v>
                </c:pt>
                <c:pt idx="9">
                  <c:v>0.39273872747265992</c:v>
                </c:pt>
                <c:pt idx="10">
                  <c:v>0.36729052610793583</c:v>
                </c:pt>
                <c:pt idx="11">
                  <c:v>0.34493955666530923</c:v>
                </c:pt>
                <c:pt idx="12">
                  <c:v>0.32515282045107297</c:v>
                </c:pt>
                <c:pt idx="13">
                  <c:v>0.30751298144526512</c:v>
                </c:pt>
                <c:pt idx="14">
                  <c:v>0.29168860675333041</c:v>
                </c:pt>
                <c:pt idx="15">
                  <c:v>0.27741314578656695</c:v>
                </c:pt>
                <c:pt idx="16">
                  <c:v>0.26446979409219046</c:v>
                </c:pt>
                <c:pt idx="17">
                  <c:v>0.25268040557437632</c:v>
                </c:pt>
                <c:pt idx="18">
                  <c:v>0.24189724374782257</c:v>
                </c:pt>
                <c:pt idx="19">
                  <c:v>0.23199675864294769</c:v>
                </c:pt>
                <c:pt idx="20">
                  <c:v>0.22287483183372123</c:v>
                </c:pt>
                <c:pt idx="21">
                  <c:v>0.2144431007972267</c:v>
                </c:pt>
                <c:pt idx="22">
                  <c:v>0.20662608719364542</c:v>
                </c:pt>
                <c:pt idx="23">
                  <c:v>0.19935893114631809</c:v>
                </c:pt>
                <c:pt idx="24">
                  <c:v>0.19258558739727555</c:v>
                </c:pt>
                <c:pt idx="25">
                  <c:v>0.18625737710019713</c:v>
                </c:pt>
                <c:pt idx="26">
                  <c:v>0.18033181605146884</c:v>
                </c:pt>
                <c:pt idx="27">
                  <c:v>0.17477165969558581</c:v>
                </c:pt>
                <c:pt idx="28">
                  <c:v>0.16954411951781423</c:v>
                </c:pt>
                <c:pt idx="29">
                  <c:v>0.1646202159820882</c:v>
                </c:pt>
                <c:pt idx="30">
                  <c:v>0.15997424103871738</c:v>
                </c:pt>
                <c:pt idx="31">
                  <c:v>0.15558330914979729</c:v>
                </c:pt>
                <c:pt idx="32">
                  <c:v>0.15142698027938434</c:v>
                </c:pt>
                <c:pt idx="33">
                  <c:v>0.14728067756459604</c:v>
                </c:pt>
                <c:pt idx="34">
                  <c:v>0.14330237045442951</c:v>
                </c:pt>
                <c:pt idx="35">
                  <c:v>0.13948310445656367</c:v>
                </c:pt>
                <c:pt idx="36">
                  <c:v>0.13581451383937299</c:v>
                </c:pt>
                <c:pt idx="37">
                  <c:v>0.13228877578206558</c:v>
                </c:pt>
                <c:pt idx="38">
                  <c:v>0.12889856863705385</c:v>
                </c:pt>
                <c:pt idx="39">
                  <c:v>0.12563703388838265</c:v>
                </c:pt>
                <c:pt idx="40">
                  <c:v>0.12249774143683381</c:v>
                </c:pt>
                <c:pt idx="41">
                  <c:v>0.11947465788334115</c:v>
                </c:pt>
                <c:pt idx="42">
                  <c:v>0.11656211751836908</c:v>
                </c:pt>
                <c:pt idx="43">
                  <c:v>0.11375479575659041</c:v>
                </c:pt>
                <c:pt idx="44">
                  <c:v>0.11104768478410941</c:v>
                </c:pt>
                <c:pt idx="45">
                  <c:v>0.10843607121010786</c:v>
                </c:pt>
                <c:pt idx="46">
                  <c:v>0.10591551553655956</c:v>
                </c:pt>
                <c:pt idx="47">
                  <c:v>0.10348183327892503</c:v>
                </c:pt>
              </c:numCache>
            </c:numRef>
          </c:yVal>
          <c:smooth val="0"/>
        </c:ser>
        <c:ser>
          <c:idx val="3"/>
          <c:order val="3"/>
          <c:tx>
            <c:v>SLV-Sd</c:v>
          </c:tx>
          <c:spPr>
            <a:ln w="25400">
              <a:solidFill>
                <a:srgbClr val="0000FF"/>
              </a:solidFill>
              <a:prstDash val="solid"/>
            </a:ln>
          </c:spPr>
          <c:marker>
            <c:symbol val="none"/>
          </c:marker>
          <c:xVal>
            <c:numRef>
              <c:f>'[1]val x spettri'!$E$5:$E$52</c:f>
              <c:numCache>
                <c:formatCode>General</c:formatCode>
                <c:ptCount val="48"/>
                <c:pt idx="0">
                  <c:v>0</c:v>
                </c:pt>
                <c:pt idx="1">
                  <c:v>0.16414729650081863</c:v>
                </c:pt>
                <c:pt idx="2">
                  <c:v>0.49244188950245588</c:v>
                </c:pt>
                <c:pt idx="3">
                  <c:v>0.55869382651904065</c:v>
                </c:pt>
                <c:pt idx="4">
                  <c:v>0.62494576353562548</c:v>
                </c:pt>
                <c:pt idx="5">
                  <c:v>0.6911977005522103</c:v>
                </c:pt>
                <c:pt idx="6">
                  <c:v>0.75744963756879513</c:v>
                </c:pt>
                <c:pt idx="7">
                  <c:v>0.82370157458537996</c:v>
                </c:pt>
                <c:pt idx="8">
                  <c:v>0.88995351160196468</c:v>
                </c:pt>
                <c:pt idx="9">
                  <c:v>0.95620544861854961</c:v>
                </c:pt>
                <c:pt idx="10">
                  <c:v>1.0224573856351342</c:v>
                </c:pt>
                <c:pt idx="11">
                  <c:v>1.088709322651719</c:v>
                </c:pt>
                <c:pt idx="12">
                  <c:v>1.1549612596683039</c:v>
                </c:pt>
                <c:pt idx="13">
                  <c:v>1.2212131966848887</c:v>
                </c:pt>
                <c:pt idx="14">
                  <c:v>1.2874651337014735</c:v>
                </c:pt>
                <c:pt idx="15">
                  <c:v>1.3537170707180584</c:v>
                </c:pt>
                <c:pt idx="16">
                  <c:v>1.4199690077346432</c:v>
                </c:pt>
                <c:pt idx="17">
                  <c:v>1.486220944751228</c:v>
                </c:pt>
                <c:pt idx="18">
                  <c:v>1.5524728817678126</c:v>
                </c:pt>
                <c:pt idx="19">
                  <c:v>1.6187248187843974</c:v>
                </c:pt>
                <c:pt idx="20">
                  <c:v>1.6849767558009823</c:v>
                </c:pt>
                <c:pt idx="21">
                  <c:v>1.7512286928175671</c:v>
                </c:pt>
                <c:pt idx="22">
                  <c:v>1.8174806298341519</c:v>
                </c:pt>
                <c:pt idx="23">
                  <c:v>1.8837325668507368</c:v>
                </c:pt>
                <c:pt idx="24">
                  <c:v>1.9499845038673216</c:v>
                </c:pt>
                <c:pt idx="25">
                  <c:v>2.0162364408839064</c:v>
                </c:pt>
                <c:pt idx="26">
                  <c:v>2.082488377900491</c:v>
                </c:pt>
                <c:pt idx="27">
                  <c:v>2.1487403149170761</c:v>
                </c:pt>
                <c:pt idx="28">
                  <c:v>2.2149922519336607</c:v>
                </c:pt>
                <c:pt idx="29">
                  <c:v>2.2812441889502457</c:v>
                </c:pt>
                <c:pt idx="30">
                  <c:v>2.3474961259668308</c:v>
                </c:pt>
                <c:pt idx="31">
                  <c:v>2.4137480629834154</c:v>
                </c:pt>
                <c:pt idx="32">
                  <c:v>2.48</c:v>
                </c:pt>
                <c:pt idx="33">
                  <c:v>2.5146666666666668</c:v>
                </c:pt>
                <c:pt idx="34">
                  <c:v>2.5493333333333332</c:v>
                </c:pt>
                <c:pt idx="35">
                  <c:v>2.5840000000000001</c:v>
                </c:pt>
                <c:pt idx="36">
                  <c:v>2.6186666666666665</c:v>
                </c:pt>
                <c:pt idx="37">
                  <c:v>2.6533333333333333</c:v>
                </c:pt>
                <c:pt idx="38">
                  <c:v>2.6880000000000002</c:v>
                </c:pt>
                <c:pt idx="39">
                  <c:v>2.7226666666666666</c:v>
                </c:pt>
                <c:pt idx="40">
                  <c:v>2.7573333333333334</c:v>
                </c:pt>
                <c:pt idx="41">
                  <c:v>2.7919999999999998</c:v>
                </c:pt>
                <c:pt idx="42">
                  <c:v>2.8266666666666667</c:v>
                </c:pt>
                <c:pt idx="43">
                  <c:v>2.8613333333333335</c:v>
                </c:pt>
                <c:pt idx="44">
                  <c:v>2.8959999999999999</c:v>
                </c:pt>
                <c:pt idx="45">
                  <c:v>2.9306666666666668</c:v>
                </c:pt>
                <c:pt idx="46">
                  <c:v>2.9653333333333332</c:v>
                </c:pt>
                <c:pt idx="47">
                  <c:v>3</c:v>
                </c:pt>
              </c:numCache>
            </c:numRef>
          </c:xVal>
          <c:yVal>
            <c:numRef>
              <c:f>'[1]val x spettri'!$G$5:$G$52</c:f>
              <c:numCache>
                <c:formatCode>General</c:formatCode>
                <c:ptCount val="48"/>
                <c:pt idx="0">
                  <c:v>0.30023839999999996</c:v>
                </c:pt>
                <c:pt idx="1">
                  <c:v>0.13035992068376068</c:v>
                </c:pt>
                <c:pt idx="2">
                  <c:v>0.13035992068376068</c:v>
                </c:pt>
                <c:pt idx="3">
                  <c:v>0.11490136924703173</c:v>
                </c:pt>
                <c:pt idx="4">
                  <c:v>0.10272041095809735</c:v>
                </c:pt>
                <c:pt idx="5">
                  <c:v>9.2874564839574972E-2</c:v>
                </c:pt>
                <c:pt idx="6">
                  <c:v>8.4751094294465118E-2</c:v>
                </c:pt>
                <c:pt idx="7">
                  <c:v>7.7934397162242333E-2</c:v>
                </c:pt>
                <c:pt idx="8">
                  <c:v>7.213262807553561E-2</c:v>
                </c:pt>
                <c:pt idx="9">
                  <c:v>6.71348252090017E-2</c:v>
                </c:pt>
                <c:pt idx="10">
                  <c:v>6.2784705317595862E-2</c:v>
                </c:pt>
                <c:pt idx="11">
                  <c:v>5.8964026780394745E-2</c:v>
                </c:pt>
                <c:pt idx="12">
                  <c:v>5.5581678709585122E-2</c:v>
                </c:pt>
                <c:pt idx="13">
                  <c:v>5.2566321614575237E-2</c:v>
                </c:pt>
                <c:pt idx="14">
                  <c:v>4.9861300299714605E-2</c:v>
                </c:pt>
                <c:pt idx="15">
                  <c:v>4.7421050561806316E-2</c:v>
                </c:pt>
                <c:pt idx="16">
                  <c:v>4.5208511810630847E-2</c:v>
                </c:pt>
                <c:pt idx="17">
                  <c:v>4.4000000000000004E-2</c:v>
                </c:pt>
                <c:pt idx="18">
                  <c:v>4.4000000000000004E-2</c:v>
                </c:pt>
                <c:pt idx="19">
                  <c:v>4.4000000000000004E-2</c:v>
                </c:pt>
                <c:pt idx="20">
                  <c:v>4.4000000000000004E-2</c:v>
                </c:pt>
                <c:pt idx="21">
                  <c:v>4.4000000000000004E-2</c:v>
                </c:pt>
                <c:pt idx="22">
                  <c:v>4.4000000000000004E-2</c:v>
                </c:pt>
                <c:pt idx="23">
                  <c:v>4.4000000000000004E-2</c:v>
                </c:pt>
                <c:pt idx="24">
                  <c:v>4.4000000000000004E-2</c:v>
                </c:pt>
                <c:pt idx="25">
                  <c:v>4.4000000000000004E-2</c:v>
                </c:pt>
                <c:pt idx="26">
                  <c:v>4.4000000000000004E-2</c:v>
                </c:pt>
                <c:pt idx="27">
                  <c:v>4.4000000000000004E-2</c:v>
                </c:pt>
                <c:pt idx="28">
                  <c:v>4.4000000000000004E-2</c:v>
                </c:pt>
                <c:pt idx="29">
                  <c:v>4.4000000000000004E-2</c:v>
                </c:pt>
                <c:pt idx="30">
                  <c:v>4.4000000000000004E-2</c:v>
                </c:pt>
                <c:pt idx="31">
                  <c:v>4.4000000000000004E-2</c:v>
                </c:pt>
                <c:pt idx="32">
                  <c:v>4.4000000000000004E-2</c:v>
                </c:pt>
                <c:pt idx="33">
                  <c:v>4.4000000000000004E-2</c:v>
                </c:pt>
                <c:pt idx="34">
                  <c:v>4.4000000000000004E-2</c:v>
                </c:pt>
                <c:pt idx="35">
                  <c:v>4.4000000000000004E-2</c:v>
                </c:pt>
                <c:pt idx="36">
                  <c:v>4.4000000000000004E-2</c:v>
                </c:pt>
                <c:pt idx="37">
                  <c:v>4.4000000000000004E-2</c:v>
                </c:pt>
                <c:pt idx="38">
                  <c:v>4.4000000000000004E-2</c:v>
                </c:pt>
                <c:pt idx="39">
                  <c:v>4.4000000000000004E-2</c:v>
                </c:pt>
                <c:pt idx="40">
                  <c:v>4.4000000000000004E-2</c:v>
                </c:pt>
                <c:pt idx="41">
                  <c:v>4.4000000000000004E-2</c:v>
                </c:pt>
                <c:pt idx="42">
                  <c:v>4.4000000000000004E-2</c:v>
                </c:pt>
                <c:pt idx="43">
                  <c:v>4.4000000000000004E-2</c:v>
                </c:pt>
                <c:pt idx="44">
                  <c:v>4.4000000000000004E-2</c:v>
                </c:pt>
                <c:pt idx="45">
                  <c:v>4.4000000000000004E-2</c:v>
                </c:pt>
                <c:pt idx="46">
                  <c:v>4.4000000000000004E-2</c:v>
                </c:pt>
                <c:pt idx="47">
                  <c:v>4.4000000000000004E-2</c:v>
                </c:pt>
              </c:numCache>
            </c:numRef>
          </c:yVal>
          <c:smooth val="0"/>
        </c:ser>
        <c:ser>
          <c:idx val="2"/>
          <c:order val="4"/>
          <c:tx>
            <c:v>SLV-v-Se</c:v>
          </c:tx>
          <c:spPr>
            <a:ln w="12700">
              <a:solidFill>
                <a:srgbClr val="99CC00"/>
              </a:solidFill>
              <a:prstDash val="solid"/>
            </a:ln>
          </c:spPr>
          <c:marker>
            <c:symbol val="none"/>
          </c:marker>
          <c:xVal>
            <c:numRef>
              <c:f>'[1]val x spettri'!$I$5:$I$52</c:f>
              <c:numCache>
                <c:formatCode>General</c:formatCode>
                <c:ptCount val="48"/>
                <c:pt idx="0">
                  <c:v>0</c:v>
                </c:pt>
                <c:pt idx="1">
                  <c:v>0.05</c:v>
                </c:pt>
                <c:pt idx="2">
                  <c:v>0.15</c:v>
                </c:pt>
                <c:pt idx="3">
                  <c:v>0.17833333333333332</c:v>
                </c:pt>
                <c:pt idx="4">
                  <c:v>0.20666666666666667</c:v>
                </c:pt>
                <c:pt idx="5">
                  <c:v>0.23499999999999999</c:v>
                </c:pt>
                <c:pt idx="6">
                  <c:v>0.26333333333333331</c:v>
                </c:pt>
                <c:pt idx="7">
                  <c:v>0.29166666666666663</c:v>
                </c:pt>
                <c:pt idx="8">
                  <c:v>0.31999999999999995</c:v>
                </c:pt>
                <c:pt idx="9">
                  <c:v>0.34833333333333333</c:v>
                </c:pt>
                <c:pt idx="10">
                  <c:v>0.37666666666666665</c:v>
                </c:pt>
                <c:pt idx="11">
                  <c:v>0.40500000000000003</c:v>
                </c:pt>
                <c:pt idx="12">
                  <c:v>0.43333333333333335</c:v>
                </c:pt>
                <c:pt idx="13">
                  <c:v>0.46166666666666667</c:v>
                </c:pt>
                <c:pt idx="14">
                  <c:v>0.49</c:v>
                </c:pt>
                <c:pt idx="15">
                  <c:v>0.51833333333333331</c:v>
                </c:pt>
                <c:pt idx="16">
                  <c:v>0.54666666666666663</c:v>
                </c:pt>
                <c:pt idx="17">
                  <c:v>0.57499999999999996</c:v>
                </c:pt>
                <c:pt idx="18">
                  <c:v>0.60333333333333328</c:v>
                </c:pt>
                <c:pt idx="19">
                  <c:v>0.6316666666666666</c:v>
                </c:pt>
                <c:pt idx="20">
                  <c:v>0.66</c:v>
                </c:pt>
                <c:pt idx="21">
                  <c:v>0.68833333333333335</c:v>
                </c:pt>
                <c:pt idx="22">
                  <c:v>0.71666666666666667</c:v>
                </c:pt>
                <c:pt idx="23">
                  <c:v>0.745</c:v>
                </c:pt>
                <c:pt idx="24">
                  <c:v>0.77333333333333332</c:v>
                </c:pt>
                <c:pt idx="25">
                  <c:v>0.80166666666666675</c:v>
                </c:pt>
                <c:pt idx="26">
                  <c:v>0.83</c:v>
                </c:pt>
                <c:pt idx="27">
                  <c:v>0.85833333333333339</c:v>
                </c:pt>
                <c:pt idx="28">
                  <c:v>0.8866666666666666</c:v>
                </c:pt>
                <c:pt idx="29">
                  <c:v>0.91500000000000004</c:v>
                </c:pt>
                <c:pt idx="30">
                  <c:v>0.94333333333333336</c:v>
                </c:pt>
                <c:pt idx="31">
                  <c:v>0.97166666666666668</c:v>
                </c:pt>
                <c:pt idx="32">
                  <c:v>1</c:v>
                </c:pt>
                <c:pt idx="33">
                  <c:v>1.1333333333333333</c:v>
                </c:pt>
                <c:pt idx="34">
                  <c:v>1.2666666666666666</c:v>
                </c:pt>
                <c:pt idx="35">
                  <c:v>1.4</c:v>
                </c:pt>
                <c:pt idx="36">
                  <c:v>1.5333333333333332</c:v>
                </c:pt>
                <c:pt idx="37">
                  <c:v>1.6666666666666665</c:v>
                </c:pt>
                <c:pt idx="38">
                  <c:v>1.8</c:v>
                </c:pt>
                <c:pt idx="39">
                  <c:v>1.9333333333333333</c:v>
                </c:pt>
                <c:pt idx="40">
                  <c:v>2.0666666666666664</c:v>
                </c:pt>
                <c:pt idx="41">
                  <c:v>2.2000000000000002</c:v>
                </c:pt>
                <c:pt idx="42">
                  <c:v>2.333333333333333</c:v>
                </c:pt>
                <c:pt idx="43">
                  <c:v>2.4666666666666668</c:v>
                </c:pt>
                <c:pt idx="44">
                  <c:v>2.6</c:v>
                </c:pt>
                <c:pt idx="45">
                  <c:v>2.7333333333333334</c:v>
                </c:pt>
                <c:pt idx="46">
                  <c:v>2.8666666666666667</c:v>
                </c:pt>
                <c:pt idx="47">
                  <c:v>3</c:v>
                </c:pt>
              </c:numCache>
            </c:numRef>
          </c:xVal>
          <c:yVal>
            <c:numRef>
              <c:f>'[1]val x spettri'!$J$5:$J$52</c:f>
              <c:numCache>
                <c:formatCode>General</c:formatCode>
                <c:ptCount val="48"/>
                <c:pt idx="0">
                  <c:v>0.22</c:v>
                </c:pt>
                <c:pt idx="1">
                  <c:v>0.35383558408955995</c:v>
                </c:pt>
                <c:pt idx="2">
                  <c:v>0.35383558408955995</c:v>
                </c:pt>
                <c:pt idx="3">
                  <c:v>0.29761871558934949</c:v>
                </c:pt>
                <c:pt idx="4">
                  <c:v>0.25681614974242256</c:v>
                </c:pt>
                <c:pt idx="5">
                  <c:v>0.22585250048269784</c:v>
                </c:pt>
                <c:pt idx="6">
                  <c:v>0.20155191498772404</c:v>
                </c:pt>
                <c:pt idx="7">
                  <c:v>0.18197258610320227</c:v>
                </c:pt>
                <c:pt idx="8">
                  <c:v>0.16586043004198125</c:v>
                </c:pt>
                <c:pt idx="9">
                  <c:v>0.15236939027780094</c:v>
                </c:pt>
                <c:pt idx="10">
                  <c:v>0.14090797596486901</c:v>
                </c:pt>
                <c:pt idx="11">
                  <c:v>0.13105021632946665</c:v>
                </c:pt>
                <c:pt idx="12">
                  <c:v>0.12248154833869382</c:v>
                </c:pt>
                <c:pt idx="13">
                  <c:v>0.11496463020960432</c:v>
                </c:pt>
                <c:pt idx="14">
                  <c:v>0.1083170155376204</c:v>
                </c:pt>
                <c:pt idx="15">
                  <c:v>0.10239614973652861</c:v>
                </c:pt>
                <c:pt idx="16">
                  <c:v>9.7089032219696336E-2</c:v>
                </c:pt>
                <c:pt idx="17">
                  <c:v>9.2304934979885206E-2</c:v>
                </c:pt>
                <c:pt idx="18">
                  <c:v>8.7970172839945848E-2</c:v>
                </c:pt>
                <c:pt idx="19">
                  <c:v>8.4024281182217414E-2</c:v>
                </c:pt>
                <c:pt idx="20">
                  <c:v>8.0417178202172715E-2</c:v>
                </c:pt>
                <c:pt idx="21">
                  <c:v>7.7107028009831463E-2</c:v>
                </c:pt>
                <c:pt idx="22">
                  <c:v>7.4058610623396262E-2</c:v>
                </c:pt>
                <c:pt idx="23">
                  <c:v>7.1242063910649647E-2</c:v>
                </c:pt>
                <c:pt idx="24">
                  <c:v>6.8631902086337057E-2</c:v>
                </c:pt>
                <c:pt idx="25">
                  <c:v>6.6206242345239905E-2</c:v>
                </c:pt>
                <c:pt idx="26">
                  <c:v>6.3946189895703609E-2</c:v>
                </c:pt>
                <c:pt idx="27">
                  <c:v>6.1835344792350276E-2</c:v>
                </c:pt>
                <c:pt idx="28">
                  <c:v>5.9859403323421802E-2</c:v>
                </c:pt>
                <c:pt idx="29">
                  <c:v>5.8005833457304909E-2</c:v>
                </c:pt>
                <c:pt idx="30">
                  <c:v>5.6263608777491862E-2</c:v>
                </c:pt>
                <c:pt idx="31">
                  <c:v>5.4622988967513539E-2</c:v>
                </c:pt>
                <c:pt idx="32">
                  <c:v>5.3075337613433991E-2</c:v>
                </c:pt>
                <c:pt idx="33">
                  <c:v>4.1321629629836161E-2</c:v>
                </c:pt>
                <c:pt idx="34">
                  <c:v>3.3080196573469944E-2</c:v>
                </c:pt>
                <c:pt idx="35">
                  <c:v>2.7079253884405102E-2</c:v>
                </c:pt>
                <c:pt idx="36">
                  <c:v>2.257457648964584E-2</c:v>
                </c:pt>
                <c:pt idx="37">
                  <c:v>1.9107121540836242E-2</c:v>
                </c:pt>
                <c:pt idx="38">
                  <c:v>1.6381277041183331E-2</c:v>
                </c:pt>
                <c:pt idx="39">
                  <c:v>1.4199703879931806E-2</c:v>
                </c:pt>
                <c:pt idx="40">
                  <c:v>1.2426587890762385E-2</c:v>
                </c:pt>
                <c:pt idx="41">
                  <c:v>1.0965978845750823E-2</c:v>
                </c:pt>
                <c:pt idx="42">
                  <c:v>9.7485313983858377E-3</c:v>
                </c:pt>
                <c:pt idx="43">
                  <c:v>8.7231197684606628E-3</c:v>
                </c:pt>
                <c:pt idx="44">
                  <c:v>7.8513813037624242E-3</c:v>
                </c:pt>
                <c:pt idx="45">
                  <c:v>7.1040755282704626E-3</c:v>
                </c:pt>
                <c:pt idx="46">
                  <c:v>6.4585997636682786E-3</c:v>
                </c:pt>
                <c:pt idx="47">
                  <c:v>5.8972597348259988E-3</c:v>
                </c:pt>
              </c:numCache>
            </c:numRef>
          </c:yVal>
          <c:smooth val="0"/>
        </c:ser>
        <c:ser>
          <c:idx val="4"/>
          <c:order val="5"/>
          <c:tx>
            <c:v>SLV-v-Sd</c:v>
          </c:tx>
          <c:spPr>
            <a:ln w="25400">
              <a:solidFill>
                <a:srgbClr val="99CC00"/>
              </a:solidFill>
              <a:prstDash val="solid"/>
            </a:ln>
          </c:spPr>
          <c:marker>
            <c:symbol val="none"/>
          </c:marker>
          <c:xVal>
            <c:numRef>
              <c:f>'[1]val x spettri'!$I$5:$I$52</c:f>
              <c:numCache>
                <c:formatCode>General</c:formatCode>
                <c:ptCount val="48"/>
                <c:pt idx="0">
                  <c:v>0</c:v>
                </c:pt>
                <c:pt idx="1">
                  <c:v>0.05</c:v>
                </c:pt>
                <c:pt idx="2">
                  <c:v>0.15</c:v>
                </c:pt>
                <c:pt idx="3">
                  <c:v>0.17833333333333332</c:v>
                </c:pt>
                <c:pt idx="4">
                  <c:v>0.20666666666666667</c:v>
                </c:pt>
                <c:pt idx="5">
                  <c:v>0.23499999999999999</c:v>
                </c:pt>
                <c:pt idx="6">
                  <c:v>0.26333333333333331</c:v>
                </c:pt>
                <c:pt idx="7">
                  <c:v>0.29166666666666663</c:v>
                </c:pt>
                <c:pt idx="8">
                  <c:v>0.31999999999999995</c:v>
                </c:pt>
                <c:pt idx="9">
                  <c:v>0.34833333333333333</c:v>
                </c:pt>
                <c:pt idx="10">
                  <c:v>0.37666666666666665</c:v>
                </c:pt>
                <c:pt idx="11">
                  <c:v>0.40500000000000003</c:v>
                </c:pt>
                <c:pt idx="12">
                  <c:v>0.43333333333333335</c:v>
                </c:pt>
                <c:pt idx="13">
                  <c:v>0.46166666666666667</c:v>
                </c:pt>
                <c:pt idx="14">
                  <c:v>0.49</c:v>
                </c:pt>
                <c:pt idx="15">
                  <c:v>0.51833333333333331</c:v>
                </c:pt>
                <c:pt idx="16">
                  <c:v>0.54666666666666663</c:v>
                </c:pt>
                <c:pt idx="17">
                  <c:v>0.57499999999999996</c:v>
                </c:pt>
                <c:pt idx="18">
                  <c:v>0.60333333333333328</c:v>
                </c:pt>
                <c:pt idx="19">
                  <c:v>0.6316666666666666</c:v>
                </c:pt>
                <c:pt idx="20">
                  <c:v>0.66</c:v>
                </c:pt>
                <c:pt idx="21">
                  <c:v>0.68833333333333335</c:v>
                </c:pt>
                <c:pt idx="22">
                  <c:v>0.71666666666666667</c:v>
                </c:pt>
                <c:pt idx="23">
                  <c:v>0.745</c:v>
                </c:pt>
                <c:pt idx="24">
                  <c:v>0.77333333333333332</c:v>
                </c:pt>
                <c:pt idx="25">
                  <c:v>0.80166666666666675</c:v>
                </c:pt>
                <c:pt idx="26">
                  <c:v>0.83</c:v>
                </c:pt>
                <c:pt idx="27">
                  <c:v>0.85833333333333339</c:v>
                </c:pt>
                <c:pt idx="28">
                  <c:v>0.8866666666666666</c:v>
                </c:pt>
                <c:pt idx="29">
                  <c:v>0.91500000000000004</c:v>
                </c:pt>
                <c:pt idx="30">
                  <c:v>0.94333333333333336</c:v>
                </c:pt>
                <c:pt idx="31">
                  <c:v>0.97166666666666668</c:v>
                </c:pt>
                <c:pt idx="32">
                  <c:v>1</c:v>
                </c:pt>
                <c:pt idx="33">
                  <c:v>1.1333333333333333</c:v>
                </c:pt>
                <c:pt idx="34">
                  <c:v>1.2666666666666666</c:v>
                </c:pt>
                <c:pt idx="35">
                  <c:v>1.4</c:v>
                </c:pt>
                <c:pt idx="36">
                  <c:v>1.5333333333333332</c:v>
                </c:pt>
                <c:pt idx="37">
                  <c:v>1.6666666666666665</c:v>
                </c:pt>
                <c:pt idx="38">
                  <c:v>1.8</c:v>
                </c:pt>
                <c:pt idx="39">
                  <c:v>1.9333333333333333</c:v>
                </c:pt>
                <c:pt idx="40">
                  <c:v>2.0666666666666664</c:v>
                </c:pt>
                <c:pt idx="41">
                  <c:v>2.2000000000000002</c:v>
                </c:pt>
                <c:pt idx="42">
                  <c:v>2.333333333333333</c:v>
                </c:pt>
                <c:pt idx="43">
                  <c:v>2.4666666666666668</c:v>
                </c:pt>
                <c:pt idx="44">
                  <c:v>2.6</c:v>
                </c:pt>
                <c:pt idx="45">
                  <c:v>2.7333333333333334</c:v>
                </c:pt>
                <c:pt idx="46">
                  <c:v>2.8666666666666667</c:v>
                </c:pt>
                <c:pt idx="47">
                  <c:v>3</c:v>
                </c:pt>
              </c:numCache>
            </c:numRef>
          </c:xVal>
          <c:yVal>
            <c:numRef>
              <c:f>'[1]val x spettri'!$K$5:$K$52</c:f>
              <c:numCache>
                <c:formatCode>General</c:formatCode>
                <c:ptCount val="48"/>
                <c:pt idx="0">
                  <c:v>0.22000000000000006</c:v>
                </c:pt>
                <c:pt idx="1">
                  <c:v>0.23589038939303997</c:v>
                </c:pt>
                <c:pt idx="2">
                  <c:v>0.23589038939304</c:v>
                </c:pt>
                <c:pt idx="3">
                  <c:v>0.19841247705956636</c:v>
                </c:pt>
                <c:pt idx="4">
                  <c:v>0.17121076649494837</c:v>
                </c:pt>
                <c:pt idx="5">
                  <c:v>0.15056833365513192</c:v>
                </c:pt>
                <c:pt idx="6">
                  <c:v>0.13436794332514937</c:v>
                </c:pt>
                <c:pt idx="7">
                  <c:v>0.12131505740213486</c:v>
                </c:pt>
                <c:pt idx="8">
                  <c:v>0.11057362002798751</c:v>
                </c:pt>
                <c:pt idx="9">
                  <c:v>0.10157959351853396</c:v>
                </c:pt>
                <c:pt idx="10">
                  <c:v>9.3938650643246011E-2</c:v>
                </c:pt>
                <c:pt idx="11">
                  <c:v>8.7366810886311097E-2</c:v>
                </c:pt>
                <c:pt idx="12">
                  <c:v>8.1654365559129222E-2</c:v>
                </c:pt>
                <c:pt idx="13">
                  <c:v>7.6643086806402874E-2</c:v>
                </c:pt>
                <c:pt idx="14">
                  <c:v>7.2211343691746935E-2</c:v>
                </c:pt>
                <c:pt idx="15">
                  <c:v>6.8264099824352414E-2</c:v>
                </c:pt>
                <c:pt idx="16">
                  <c:v>6.4726021479797557E-2</c:v>
                </c:pt>
                <c:pt idx="17">
                  <c:v>6.1536623319923475E-2</c:v>
                </c:pt>
                <c:pt idx="18">
                  <c:v>5.8646781893297237E-2</c:v>
                </c:pt>
                <c:pt idx="19">
                  <c:v>5.6016187454811607E-2</c:v>
                </c:pt>
                <c:pt idx="20">
                  <c:v>5.3611452134781808E-2</c:v>
                </c:pt>
                <c:pt idx="21">
                  <c:v>5.1404685339887644E-2</c:v>
                </c:pt>
                <c:pt idx="22">
                  <c:v>4.9372407082264182E-2</c:v>
                </c:pt>
                <c:pt idx="23">
                  <c:v>4.7494709273766436E-2</c:v>
                </c:pt>
                <c:pt idx="24">
                  <c:v>4.5754601390891374E-2</c:v>
                </c:pt>
                <c:pt idx="25">
                  <c:v>4.4137494896826605E-2</c:v>
                </c:pt>
                <c:pt idx="26">
                  <c:v>4.2630793263802411E-2</c:v>
                </c:pt>
                <c:pt idx="27">
                  <c:v>4.1223563194900184E-2</c:v>
                </c:pt>
                <c:pt idx="28">
                  <c:v>3.9906268882281201E-2</c:v>
                </c:pt>
                <c:pt idx="29">
                  <c:v>3.867055563820327E-2</c:v>
                </c:pt>
                <c:pt idx="30">
                  <c:v>3.7509072518327913E-2</c:v>
                </c:pt>
                <c:pt idx="31">
                  <c:v>3.6415325978342364E-2</c:v>
                </c:pt>
                <c:pt idx="32">
                  <c:v>3.5383558408955997E-2</c:v>
                </c:pt>
                <c:pt idx="33">
                  <c:v>2.754775308655744E-2</c:v>
                </c:pt>
                <c:pt idx="34">
                  <c:v>2.2053464382313297E-2</c:v>
                </c:pt>
                <c:pt idx="35">
                  <c:v>1.8052835922936734E-2</c:v>
                </c:pt>
                <c:pt idx="36">
                  <c:v>1.5049717659763893E-2</c:v>
                </c:pt>
                <c:pt idx="37">
                  <c:v>1.273808102722416E-2</c:v>
                </c:pt>
                <c:pt idx="38">
                  <c:v>1.0920851360788887E-2</c:v>
                </c:pt>
                <c:pt idx="39">
                  <c:v>9.4664692532878715E-3</c:v>
                </c:pt>
                <c:pt idx="40">
                  <c:v>8.284391927174924E-3</c:v>
                </c:pt>
                <c:pt idx="41">
                  <c:v>7.3106525638338823E-3</c:v>
                </c:pt>
                <c:pt idx="42">
                  <c:v>6.4990209322572257E-3</c:v>
                </c:pt>
                <c:pt idx="43">
                  <c:v>5.8154131789737752E-3</c:v>
                </c:pt>
                <c:pt idx="44">
                  <c:v>5.2342542025082834E-3</c:v>
                </c:pt>
                <c:pt idx="45">
                  <c:v>4.7360503521803087E-3</c:v>
                </c:pt>
                <c:pt idx="46">
                  <c:v>4.3057331757788532E-3</c:v>
                </c:pt>
                <c:pt idx="47">
                  <c:v>3.9315064898839992E-3</c:v>
                </c:pt>
              </c:numCache>
            </c:numRef>
          </c:yVal>
          <c:smooth val="0"/>
        </c:ser>
        <c:dLbls>
          <c:showLegendKey val="0"/>
          <c:showVal val="0"/>
          <c:showCatName val="0"/>
          <c:showSerName val="0"/>
          <c:showPercent val="0"/>
          <c:showBubbleSize val="0"/>
        </c:dLbls>
        <c:axId val="204745216"/>
        <c:axId val="204747456"/>
      </c:scatterChart>
      <c:valAx>
        <c:axId val="204745216"/>
        <c:scaling>
          <c:orientation val="minMax"/>
          <c:max val="3"/>
          <c:min val="0"/>
        </c:scaling>
        <c:delete val="0"/>
        <c:axPos val="b"/>
        <c:numFmt formatCode="0.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it-IT"/>
          </a:p>
        </c:txPr>
        <c:crossAx val="204747456"/>
        <c:crosses val="autoZero"/>
        <c:crossBetween val="midCat"/>
        <c:majorUnit val="0.5"/>
      </c:valAx>
      <c:valAx>
        <c:axId val="204747456"/>
        <c:scaling>
          <c:orientation val="minMax"/>
          <c:max val="1"/>
          <c:min val="0"/>
        </c:scaling>
        <c:delete val="0"/>
        <c:axPos val="l"/>
        <c:numFmt formatCode="0.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it-IT"/>
          </a:p>
        </c:txPr>
        <c:crossAx val="204745216"/>
        <c:crosses val="autoZero"/>
        <c:crossBetween val="midCat"/>
        <c:majorUnit val="0.1"/>
      </c:valAx>
      <c:spPr>
        <a:noFill/>
        <a:ln w="25400">
          <a:noFill/>
        </a:ln>
      </c:spPr>
    </c:plotArea>
    <c:legend>
      <c:legendPos val="r"/>
      <c:layout>
        <c:manualLayout>
          <c:xMode val="edge"/>
          <c:yMode val="edge"/>
          <c:x val="0.84901758014477768"/>
          <c:y val="0.16271186440677965"/>
          <c:w val="0.1147880041365047"/>
          <c:h val="0.17966101694915254"/>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4.3433298862461223E-2"/>
          <c:y val="2.2033898305084745E-2"/>
          <c:w val="0.93898655635987593"/>
          <c:h val="0.91694915254237286"/>
        </c:manualLayout>
      </c:layout>
      <c:scatterChart>
        <c:scatterStyle val="lineMarker"/>
        <c:varyColors val="0"/>
        <c:ser>
          <c:idx val="0"/>
          <c:order val="0"/>
          <c:tx>
            <c:strRef>
              <c:f>[1]Se!$N$9</c:f>
              <c:strCache>
                <c:ptCount val="1"/>
                <c:pt idx="0">
                  <c:v>A</c:v>
                </c:pt>
              </c:strCache>
            </c:strRef>
          </c:tx>
          <c:spPr>
            <a:ln w="12700">
              <a:solidFill>
                <a:srgbClr val="339966"/>
              </a:solidFill>
              <a:prstDash val="solid"/>
            </a:ln>
          </c:spPr>
          <c:marker>
            <c:symbol val="none"/>
          </c:marker>
          <c:xVal>
            <c:numRef>
              <c:f>[1]T!$N$25:$N$72</c:f>
              <c:numCache>
                <c:formatCode>General</c:formatCode>
                <c:ptCount val="48"/>
                <c:pt idx="0">
                  <c:v>0</c:v>
                </c:pt>
                <c:pt idx="1">
                  <c:v>0.10766666666666667</c:v>
                </c:pt>
                <c:pt idx="2">
                  <c:v>0.32300000000000001</c:v>
                </c:pt>
                <c:pt idx="3">
                  <c:v>0.39490000000000003</c:v>
                </c:pt>
                <c:pt idx="4">
                  <c:v>0.46679999999999999</c:v>
                </c:pt>
                <c:pt idx="5">
                  <c:v>0.53869999999999996</c:v>
                </c:pt>
                <c:pt idx="6">
                  <c:v>0.61060000000000003</c:v>
                </c:pt>
                <c:pt idx="7">
                  <c:v>0.6825</c:v>
                </c:pt>
                <c:pt idx="8">
                  <c:v>0.75439999999999996</c:v>
                </c:pt>
                <c:pt idx="9">
                  <c:v>0.82630000000000003</c:v>
                </c:pt>
                <c:pt idx="10">
                  <c:v>0.89820000000000011</c:v>
                </c:pt>
                <c:pt idx="11">
                  <c:v>0.97009999999999996</c:v>
                </c:pt>
                <c:pt idx="12">
                  <c:v>1.042</c:v>
                </c:pt>
                <c:pt idx="13">
                  <c:v>1.1139000000000001</c:v>
                </c:pt>
                <c:pt idx="14">
                  <c:v>1.1858</c:v>
                </c:pt>
                <c:pt idx="15">
                  <c:v>1.2577</c:v>
                </c:pt>
                <c:pt idx="16">
                  <c:v>1.3295999999999999</c:v>
                </c:pt>
                <c:pt idx="17">
                  <c:v>1.4015000000000002</c:v>
                </c:pt>
                <c:pt idx="18">
                  <c:v>1.4734</c:v>
                </c:pt>
                <c:pt idx="19">
                  <c:v>1.5452999999999999</c:v>
                </c:pt>
                <c:pt idx="20">
                  <c:v>1.6172</c:v>
                </c:pt>
                <c:pt idx="21">
                  <c:v>1.6891</c:v>
                </c:pt>
                <c:pt idx="22">
                  <c:v>1.7609999999999999</c:v>
                </c:pt>
                <c:pt idx="23">
                  <c:v>1.8328999999999998</c:v>
                </c:pt>
                <c:pt idx="24">
                  <c:v>1.9048</c:v>
                </c:pt>
                <c:pt idx="25">
                  <c:v>1.9767000000000001</c:v>
                </c:pt>
                <c:pt idx="26">
                  <c:v>2.0486</c:v>
                </c:pt>
                <c:pt idx="27">
                  <c:v>2.1204999999999998</c:v>
                </c:pt>
                <c:pt idx="28">
                  <c:v>2.1924000000000001</c:v>
                </c:pt>
                <c:pt idx="29">
                  <c:v>2.2643000000000004</c:v>
                </c:pt>
                <c:pt idx="30">
                  <c:v>2.3361999999999998</c:v>
                </c:pt>
                <c:pt idx="31">
                  <c:v>2.4080999999999997</c:v>
                </c:pt>
                <c:pt idx="32">
                  <c:v>2.48</c:v>
                </c:pt>
                <c:pt idx="33">
                  <c:v>2.5146666666666668</c:v>
                </c:pt>
                <c:pt idx="34">
                  <c:v>2.5493333333333332</c:v>
                </c:pt>
                <c:pt idx="35">
                  <c:v>2.5840000000000001</c:v>
                </c:pt>
                <c:pt idx="36">
                  <c:v>2.6186666666666665</c:v>
                </c:pt>
                <c:pt idx="37">
                  <c:v>2.6533333333333333</c:v>
                </c:pt>
                <c:pt idx="38">
                  <c:v>2.6880000000000002</c:v>
                </c:pt>
                <c:pt idx="39">
                  <c:v>2.7226666666666666</c:v>
                </c:pt>
                <c:pt idx="40">
                  <c:v>2.7573333333333334</c:v>
                </c:pt>
                <c:pt idx="41">
                  <c:v>2.7919999999999998</c:v>
                </c:pt>
                <c:pt idx="42">
                  <c:v>2.8266666666666667</c:v>
                </c:pt>
                <c:pt idx="43">
                  <c:v>2.8613333333333335</c:v>
                </c:pt>
                <c:pt idx="44">
                  <c:v>2.8959999999999999</c:v>
                </c:pt>
                <c:pt idx="45">
                  <c:v>2.9306666666666668</c:v>
                </c:pt>
                <c:pt idx="46">
                  <c:v>2.9653333333333332</c:v>
                </c:pt>
                <c:pt idx="47">
                  <c:v>3</c:v>
                </c:pt>
              </c:numCache>
            </c:numRef>
          </c:xVal>
          <c:yVal>
            <c:numRef>
              <c:f>[1]Se!$N$25:$N$72</c:f>
              <c:numCache>
                <c:formatCode>General</c:formatCode>
                <c:ptCount val="48"/>
                <c:pt idx="0">
                  <c:v>0.21999999999999997</c:v>
                </c:pt>
                <c:pt idx="1">
                  <c:v>0.55879999999999996</c:v>
                </c:pt>
                <c:pt idx="2">
                  <c:v>0.55879999999999996</c:v>
                </c:pt>
                <c:pt idx="3">
                  <c:v>0.45705849582172697</c:v>
                </c:pt>
                <c:pt idx="4">
                  <c:v>0.38665895458440447</c:v>
                </c:pt>
                <c:pt idx="5">
                  <c:v>0.33505179134954521</c:v>
                </c:pt>
                <c:pt idx="6">
                  <c:v>0.29559842777595807</c:v>
                </c:pt>
                <c:pt idx="7">
                  <c:v>0.26445772893772895</c:v>
                </c:pt>
                <c:pt idx="8">
                  <c:v>0.23925291622481443</c:v>
                </c:pt>
                <c:pt idx="9">
                  <c:v>0.21843446690064139</c:v>
                </c:pt>
                <c:pt idx="10">
                  <c:v>0.20094900912936983</c:v>
                </c:pt>
                <c:pt idx="11">
                  <c:v>0.18605545820018554</c:v>
                </c:pt>
                <c:pt idx="12">
                  <c:v>0.17321727447216889</c:v>
                </c:pt>
                <c:pt idx="13">
                  <c:v>0.16203644851422927</c:v>
                </c:pt>
                <c:pt idx="14">
                  <c:v>0.15221150278293136</c:v>
                </c:pt>
                <c:pt idx="15">
                  <c:v>0.14350989902202432</c:v>
                </c:pt>
                <c:pt idx="16">
                  <c:v>0.13574939831528279</c:v>
                </c:pt>
                <c:pt idx="17">
                  <c:v>0.12878515875847305</c:v>
                </c:pt>
                <c:pt idx="18">
                  <c:v>0.12250061083208905</c:v>
                </c:pt>
                <c:pt idx="19">
                  <c:v>0.1168008800880088</c:v>
                </c:pt>
                <c:pt idx="20">
                  <c:v>0.11160796438288399</c:v>
                </c:pt>
                <c:pt idx="21">
                  <c:v>0.10685714285714286</c:v>
                </c:pt>
                <c:pt idx="22">
                  <c:v>0.10249426462237365</c:v>
                </c:pt>
                <c:pt idx="23">
                  <c:v>9.8473675596049984E-2</c:v>
                </c:pt>
                <c:pt idx="24">
                  <c:v>9.4756614867702649E-2</c:v>
                </c:pt>
                <c:pt idx="25">
                  <c:v>9.130996104618809E-2</c:v>
                </c:pt>
                <c:pt idx="26">
                  <c:v>8.8105242604705647E-2</c:v>
                </c:pt>
                <c:pt idx="27">
                  <c:v>8.5117849563782128E-2</c:v>
                </c:pt>
                <c:pt idx="28">
                  <c:v>8.2326400291917526E-2</c:v>
                </c:pt>
                <c:pt idx="29">
                  <c:v>7.9712228944927771E-2</c:v>
                </c:pt>
                <c:pt idx="30">
                  <c:v>7.7258967554147767E-2</c:v>
                </c:pt>
                <c:pt idx="31">
                  <c:v>7.4952202981603766E-2</c:v>
                </c:pt>
                <c:pt idx="32">
                  <c:v>7.2779193548387092E-2</c:v>
                </c:pt>
                <c:pt idx="33">
                  <c:v>7.0786387727172009E-2</c:v>
                </c:pt>
                <c:pt idx="34">
                  <c:v>6.8874324350939237E-2</c:v>
                </c:pt>
                <c:pt idx="35">
                  <c:v>6.7038699690402465E-2</c:v>
                </c:pt>
                <c:pt idx="36">
                  <c:v>6.5275492987833972E-2</c:v>
                </c:pt>
                <c:pt idx="37">
                  <c:v>6.3580944420595434E-2</c:v>
                </c:pt>
                <c:pt idx="38">
                  <c:v>6.1951535041099765E-2</c:v>
                </c:pt>
                <c:pt idx="39">
                  <c:v>6.0383968493180909E-2</c:v>
                </c:pt>
                <c:pt idx="40">
                  <c:v>5.8875154327338565E-2</c:v>
                </c:pt>
                <c:pt idx="41">
                  <c:v>5.7422192757038124E-2</c:v>
                </c:pt>
                <c:pt idx="42">
                  <c:v>5.6022360715557135E-2</c:v>
                </c:pt>
                <c:pt idx="43">
                  <c:v>5.467309908809731E-2</c:v>
                </c:pt>
                <c:pt idx="44">
                  <c:v>5.3372001007295257E-2</c:v>
                </c:pt>
                <c:pt idx="45">
                  <c:v>5.2116801112103719E-2</c:v>
                </c:pt>
                <c:pt idx="46">
                  <c:v>5.0905365680477203E-2</c:v>
                </c:pt>
                <c:pt idx="47">
                  <c:v>4.9735683555555549E-2</c:v>
                </c:pt>
              </c:numCache>
            </c:numRef>
          </c:yVal>
          <c:smooth val="0"/>
        </c:ser>
        <c:ser>
          <c:idx val="1"/>
          <c:order val="1"/>
          <c:tx>
            <c:strRef>
              <c:f>[1]Se!$O$9</c:f>
              <c:strCache>
                <c:ptCount val="1"/>
                <c:pt idx="0">
                  <c:v>B</c:v>
                </c:pt>
              </c:strCache>
            </c:strRef>
          </c:tx>
          <c:spPr>
            <a:ln w="12700">
              <a:solidFill>
                <a:srgbClr val="000000"/>
              </a:solidFill>
              <a:prstDash val="solid"/>
            </a:ln>
          </c:spPr>
          <c:marker>
            <c:symbol val="none"/>
          </c:marker>
          <c:xVal>
            <c:numRef>
              <c:f>[1]T!$O$25:$O$72</c:f>
              <c:numCache>
                <c:formatCode>General</c:formatCode>
                <c:ptCount val="48"/>
                <c:pt idx="0">
                  <c:v>0</c:v>
                </c:pt>
                <c:pt idx="1">
                  <c:v>0.14846820172426536</c:v>
                </c:pt>
                <c:pt idx="2">
                  <c:v>0.44540460517279606</c:v>
                </c:pt>
                <c:pt idx="3">
                  <c:v>0.51322445166703623</c:v>
                </c:pt>
                <c:pt idx="4">
                  <c:v>0.58104429816127634</c:v>
                </c:pt>
                <c:pt idx="5">
                  <c:v>0.64886414465551645</c:v>
                </c:pt>
                <c:pt idx="6">
                  <c:v>0.71668399114975656</c:v>
                </c:pt>
                <c:pt idx="7">
                  <c:v>0.78450383764399667</c:v>
                </c:pt>
                <c:pt idx="8">
                  <c:v>0.85232368413823689</c:v>
                </c:pt>
                <c:pt idx="9">
                  <c:v>0.920143530632477</c:v>
                </c:pt>
                <c:pt idx="10">
                  <c:v>0.98796337712671711</c:v>
                </c:pt>
                <c:pt idx="11">
                  <c:v>1.0557832236209572</c:v>
                </c:pt>
                <c:pt idx="12">
                  <c:v>1.1236030701151973</c:v>
                </c:pt>
                <c:pt idx="13">
                  <c:v>1.1914229166094374</c:v>
                </c:pt>
                <c:pt idx="14">
                  <c:v>1.2592427631036776</c:v>
                </c:pt>
                <c:pt idx="15">
                  <c:v>1.3270626095979177</c:v>
                </c:pt>
                <c:pt idx="16">
                  <c:v>1.3948824560921578</c:v>
                </c:pt>
                <c:pt idx="17">
                  <c:v>1.4627023025863979</c:v>
                </c:pt>
                <c:pt idx="18">
                  <c:v>1.530522149080638</c:v>
                </c:pt>
                <c:pt idx="19">
                  <c:v>1.5983419955748783</c:v>
                </c:pt>
                <c:pt idx="20">
                  <c:v>1.6661618420691182</c:v>
                </c:pt>
                <c:pt idx="21">
                  <c:v>1.7339816885633585</c:v>
                </c:pt>
                <c:pt idx="22">
                  <c:v>1.8018015350575984</c:v>
                </c:pt>
                <c:pt idx="23">
                  <c:v>1.8696213815518388</c:v>
                </c:pt>
                <c:pt idx="24">
                  <c:v>1.9374412280460787</c:v>
                </c:pt>
                <c:pt idx="25">
                  <c:v>2.0052610745403192</c:v>
                </c:pt>
                <c:pt idx="26">
                  <c:v>2.0730809210345593</c:v>
                </c:pt>
                <c:pt idx="27">
                  <c:v>2.1409007675287994</c:v>
                </c:pt>
                <c:pt idx="28">
                  <c:v>2.2087206140230395</c:v>
                </c:pt>
                <c:pt idx="29">
                  <c:v>2.2765404605172797</c:v>
                </c:pt>
                <c:pt idx="30">
                  <c:v>2.3443603070115198</c:v>
                </c:pt>
                <c:pt idx="31">
                  <c:v>2.4121801535057599</c:v>
                </c:pt>
                <c:pt idx="32">
                  <c:v>2.48</c:v>
                </c:pt>
                <c:pt idx="33">
                  <c:v>2.5146666666666668</c:v>
                </c:pt>
                <c:pt idx="34">
                  <c:v>2.5493333333333332</c:v>
                </c:pt>
                <c:pt idx="35">
                  <c:v>2.5840000000000001</c:v>
                </c:pt>
                <c:pt idx="36">
                  <c:v>2.6186666666666665</c:v>
                </c:pt>
                <c:pt idx="37">
                  <c:v>2.6533333333333333</c:v>
                </c:pt>
                <c:pt idx="38">
                  <c:v>2.6880000000000002</c:v>
                </c:pt>
                <c:pt idx="39">
                  <c:v>2.7226666666666666</c:v>
                </c:pt>
                <c:pt idx="40">
                  <c:v>2.7573333333333334</c:v>
                </c:pt>
                <c:pt idx="41">
                  <c:v>2.7919999999999998</c:v>
                </c:pt>
                <c:pt idx="42">
                  <c:v>2.8266666666666667</c:v>
                </c:pt>
                <c:pt idx="43">
                  <c:v>2.8613333333333335</c:v>
                </c:pt>
                <c:pt idx="44">
                  <c:v>2.8959999999999999</c:v>
                </c:pt>
                <c:pt idx="45">
                  <c:v>2.9306666666666668</c:v>
                </c:pt>
                <c:pt idx="46">
                  <c:v>2.9653333333333332</c:v>
                </c:pt>
                <c:pt idx="47">
                  <c:v>3</c:v>
                </c:pt>
              </c:numCache>
            </c:numRef>
          </c:xVal>
          <c:yVal>
            <c:numRef>
              <c:f>[1]Se!$O$25:$O$72</c:f>
              <c:numCache>
                <c:formatCode>General</c:formatCode>
                <c:ptCount val="48"/>
                <c:pt idx="0">
                  <c:v>0.25882559999999999</c:v>
                </c:pt>
                <c:pt idx="1">
                  <c:v>0.65741702400000002</c:v>
                </c:pt>
                <c:pt idx="2">
                  <c:v>0.65741702400000002</c:v>
                </c:pt>
                <c:pt idx="3">
                  <c:v>0.57054290585235934</c:v>
                </c:pt>
                <c:pt idx="4">
                  <c:v>0.50394878830274592</c:v>
                </c:pt>
                <c:pt idx="5">
                  <c:v>0.45127562128440868</c:v>
                </c:pt>
                <c:pt idx="6">
                  <c:v>0.40857138379613728</c:v>
                </c:pt>
                <c:pt idx="7">
                  <c:v>0.37325065341678176</c:v>
                </c:pt>
                <c:pt idx="8">
                  <c:v>0.34355090144497641</c:v>
                </c:pt>
                <c:pt idx="9">
                  <c:v>0.3182292330059876</c:v>
                </c:pt>
                <c:pt idx="10">
                  <c:v>0.29638403283752257</c:v>
                </c:pt>
                <c:pt idx="11">
                  <c:v>0.27734535220624074</c:v>
                </c:pt>
                <c:pt idx="12">
                  <c:v>0.26060499280993743</c:v>
                </c:pt>
                <c:pt idx="13">
                  <c:v>0.24577046985288378</c:v>
                </c:pt>
                <c:pt idx="14">
                  <c:v>0.23253385176253427</c:v>
                </c:pt>
                <c:pt idx="15">
                  <c:v>0.22065015462783188</c:v>
                </c:pt>
                <c:pt idx="16">
                  <c:v>0.20992203947344554</c:v>
                </c:pt>
                <c:pt idx="17">
                  <c:v>0.20018876670312669</c:v>
                </c:pt>
                <c:pt idx="18">
                  <c:v>0.19131808721911356</c:v>
                </c:pt>
                <c:pt idx="19">
                  <c:v>0.18320019796719211</c:v>
                </c:pt>
                <c:pt idx="20">
                  <c:v>0.17574317369131515</c:v>
                </c:pt>
                <c:pt idx="21">
                  <c:v>0.16886947073310762</c:v>
                </c:pt>
                <c:pt idx="22">
                  <c:v>0.16251322041372004</c:v>
                </c:pt>
                <c:pt idx="23">
                  <c:v>0.15661811150530841</c:v>
                </c:pt>
                <c:pt idx="24">
                  <c:v>0.15113571744516965</c:v>
                </c:pt>
                <c:pt idx="25">
                  <c:v>0.14602416300117885</c:v>
                </c:pt>
                <c:pt idx="26">
                  <c:v>0.14124705265362539</c:v>
                </c:pt>
                <c:pt idx="27">
                  <c:v>0.13677260265854693</c:v>
                </c:pt>
                <c:pt idx="28">
                  <c:v>0.13257293301358222</c:v>
                </c:pt>
                <c:pt idx="29">
                  <c:v>0.12862348598103118</c:v>
                </c:pt>
                <c:pt idx="30">
                  <c:v>0.12490254553996583</c:v>
                </c:pt>
                <c:pt idx="31">
                  <c:v>0.12139083790363978</c:v>
                </c:pt>
                <c:pt idx="32">
                  <c:v>0.11807119758411075</c:v>
                </c:pt>
                <c:pt idx="33">
                  <c:v>0.11483822730247362</c:v>
                </c:pt>
                <c:pt idx="34">
                  <c:v>0.11173624716664775</c:v>
                </c:pt>
                <c:pt idx="35">
                  <c:v>0.10875827514720779</c:v>
                </c:pt>
                <c:pt idx="36">
                  <c:v>0.10589778828536611</c:v>
                </c:pt>
                <c:pt idx="37">
                  <c:v>0.10314868694275131</c:v>
                </c:pt>
                <c:pt idx="38">
                  <c:v>0.10050526225759142</c:v>
                </c:pt>
                <c:pt idx="39">
                  <c:v>9.796216648280083E-2</c:v>
                </c:pt>
                <c:pt idx="40">
                  <c:v>9.5514385917955261E-2</c:v>
                </c:pt>
                <c:pt idx="41">
                  <c:v>9.31572161791204E-2</c:v>
                </c:pt>
                <c:pt idx="42">
                  <c:v>9.0886239578584355E-2</c:v>
                </c:pt>
                <c:pt idx="43">
                  <c:v>8.8697304411247666E-2</c:v>
                </c:pt>
                <c:pt idx="44">
                  <c:v>8.6586505966187249E-2</c:v>
                </c:pt>
                <c:pt idx="45">
                  <c:v>8.455016910111629E-2</c:v>
                </c:pt>
                <c:pt idx="46">
                  <c:v>8.2584832234435163E-2</c:v>
                </c:pt>
                <c:pt idx="47">
                  <c:v>8.0687232624590516E-2</c:v>
                </c:pt>
              </c:numCache>
            </c:numRef>
          </c:yVal>
          <c:smooth val="0"/>
        </c:ser>
        <c:ser>
          <c:idx val="4"/>
          <c:order val="2"/>
          <c:tx>
            <c:strRef>
              <c:f>[1]Se!$P$9</c:f>
              <c:strCache>
                <c:ptCount val="1"/>
                <c:pt idx="0">
                  <c:v>C</c:v>
                </c:pt>
              </c:strCache>
            </c:strRef>
          </c:tx>
          <c:spPr>
            <a:ln w="38100">
              <a:solidFill>
                <a:srgbClr val="0000FF"/>
              </a:solidFill>
              <a:prstDash val="solid"/>
            </a:ln>
          </c:spPr>
          <c:marker>
            <c:symbol val="none"/>
          </c:marker>
          <c:xVal>
            <c:numRef>
              <c:f>[1]T!$P$25:$P$72</c:f>
              <c:numCache>
                <c:formatCode>General</c:formatCode>
                <c:ptCount val="48"/>
                <c:pt idx="0">
                  <c:v>0</c:v>
                </c:pt>
                <c:pt idx="1">
                  <c:v>0.16414729650081863</c:v>
                </c:pt>
                <c:pt idx="2">
                  <c:v>0.49244188950245588</c:v>
                </c:pt>
                <c:pt idx="3">
                  <c:v>0.55869382651904065</c:v>
                </c:pt>
                <c:pt idx="4">
                  <c:v>0.62494576353562548</c:v>
                </c:pt>
                <c:pt idx="5">
                  <c:v>0.6911977005522103</c:v>
                </c:pt>
                <c:pt idx="6">
                  <c:v>0.75744963756879513</c:v>
                </c:pt>
                <c:pt idx="7">
                  <c:v>0.82370157458537996</c:v>
                </c:pt>
                <c:pt idx="8">
                  <c:v>0.88995351160196468</c:v>
                </c:pt>
                <c:pt idx="9">
                  <c:v>0.95620544861854961</c:v>
                </c:pt>
                <c:pt idx="10">
                  <c:v>1.0224573856351342</c:v>
                </c:pt>
                <c:pt idx="11">
                  <c:v>1.088709322651719</c:v>
                </c:pt>
                <c:pt idx="12">
                  <c:v>1.1549612596683039</c:v>
                </c:pt>
                <c:pt idx="13">
                  <c:v>1.2212131966848887</c:v>
                </c:pt>
                <c:pt idx="14">
                  <c:v>1.2874651337014735</c:v>
                </c:pt>
                <c:pt idx="15">
                  <c:v>1.3537170707180584</c:v>
                </c:pt>
                <c:pt idx="16">
                  <c:v>1.4199690077346432</c:v>
                </c:pt>
                <c:pt idx="17">
                  <c:v>1.486220944751228</c:v>
                </c:pt>
                <c:pt idx="18">
                  <c:v>1.5524728817678126</c:v>
                </c:pt>
                <c:pt idx="19">
                  <c:v>1.6187248187843974</c:v>
                </c:pt>
                <c:pt idx="20">
                  <c:v>1.6849767558009823</c:v>
                </c:pt>
                <c:pt idx="21">
                  <c:v>1.7512286928175671</c:v>
                </c:pt>
                <c:pt idx="22">
                  <c:v>1.8174806298341519</c:v>
                </c:pt>
                <c:pt idx="23">
                  <c:v>1.8837325668507368</c:v>
                </c:pt>
                <c:pt idx="24">
                  <c:v>1.9499845038673216</c:v>
                </c:pt>
                <c:pt idx="25">
                  <c:v>2.0162364408839064</c:v>
                </c:pt>
                <c:pt idx="26">
                  <c:v>2.082488377900491</c:v>
                </c:pt>
                <c:pt idx="27">
                  <c:v>2.1487403149170761</c:v>
                </c:pt>
                <c:pt idx="28">
                  <c:v>2.2149922519336607</c:v>
                </c:pt>
                <c:pt idx="29">
                  <c:v>2.2812441889502457</c:v>
                </c:pt>
                <c:pt idx="30">
                  <c:v>2.3474961259668308</c:v>
                </c:pt>
                <c:pt idx="31">
                  <c:v>2.4137480629834154</c:v>
                </c:pt>
                <c:pt idx="32">
                  <c:v>2.48</c:v>
                </c:pt>
                <c:pt idx="33">
                  <c:v>2.5146666666666668</c:v>
                </c:pt>
                <c:pt idx="34">
                  <c:v>2.5493333333333332</c:v>
                </c:pt>
                <c:pt idx="35">
                  <c:v>2.5840000000000001</c:v>
                </c:pt>
                <c:pt idx="36">
                  <c:v>2.6186666666666665</c:v>
                </c:pt>
                <c:pt idx="37">
                  <c:v>2.6533333333333333</c:v>
                </c:pt>
                <c:pt idx="38">
                  <c:v>2.6880000000000002</c:v>
                </c:pt>
                <c:pt idx="39">
                  <c:v>2.7226666666666666</c:v>
                </c:pt>
                <c:pt idx="40">
                  <c:v>2.7573333333333334</c:v>
                </c:pt>
                <c:pt idx="41">
                  <c:v>2.7919999999999998</c:v>
                </c:pt>
                <c:pt idx="42">
                  <c:v>2.8266666666666667</c:v>
                </c:pt>
                <c:pt idx="43">
                  <c:v>2.8613333333333335</c:v>
                </c:pt>
                <c:pt idx="44">
                  <c:v>2.8959999999999999</c:v>
                </c:pt>
                <c:pt idx="45">
                  <c:v>2.9306666666666668</c:v>
                </c:pt>
                <c:pt idx="46">
                  <c:v>2.9653333333333332</c:v>
                </c:pt>
                <c:pt idx="47">
                  <c:v>3</c:v>
                </c:pt>
              </c:numCache>
            </c:numRef>
          </c:xVal>
          <c:yVal>
            <c:numRef>
              <c:f>[1]Se!$P$25:$P$72</c:f>
              <c:numCache>
                <c:formatCode>General</c:formatCode>
                <c:ptCount val="48"/>
                <c:pt idx="0">
                  <c:v>0.30023839999999996</c:v>
                </c:pt>
                <c:pt idx="1">
                  <c:v>0.76260553599999992</c:v>
                </c:pt>
                <c:pt idx="2">
                  <c:v>0.76260553599999992</c:v>
                </c:pt>
                <c:pt idx="3">
                  <c:v>0.67217301009513564</c:v>
                </c:pt>
                <c:pt idx="4">
                  <c:v>0.60091440410486952</c:v>
                </c:pt>
                <c:pt idx="5">
                  <c:v>0.54331620431151362</c:v>
                </c:pt>
                <c:pt idx="6">
                  <c:v>0.49579390162262088</c:v>
                </c:pt>
                <c:pt idx="7">
                  <c:v>0.45591622339911769</c:v>
                </c:pt>
                <c:pt idx="8">
                  <c:v>0.42197587424188332</c:v>
                </c:pt>
                <c:pt idx="9">
                  <c:v>0.39273872747265992</c:v>
                </c:pt>
                <c:pt idx="10">
                  <c:v>0.36729052610793583</c:v>
                </c:pt>
                <c:pt idx="11">
                  <c:v>0.34493955666530923</c:v>
                </c:pt>
                <c:pt idx="12">
                  <c:v>0.32515282045107297</c:v>
                </c:pt>
                <c:pt idx="13">
                  <c:v>0.30751298144526512</c:v>
                </c:pt>
                <c:pt idx="14">
                  <c:v>0.29168860675333041</c:v>
                </c:pt>
                <c:pt idx="15">
                  <c:v>0.27741314578656695</c:v>
                </c:pt>
                <c:pt idx="16">
                  <c:v>0.26446979409219046</c:v>
                </c:pt>
                <c:pt idx="17">
                  <c:v>0.25268040557437632</c:v>
                </c:pt>
                <c:pt idx="18">
                  <c:v>0.24189724374782257</c:v>
                </c:pt>
                <c:pt idx="19">
                  <c:v>0.23199675864294769</c:v>
                </c:pt>
                <c:pt idx="20">
                  <c:v>0.22287483183372123</c:v>
                </c:pt>
                <c:pt idx="21">
                  <c:v>0.2144431007972267</c:v>
                </c:pt>
                <c:pt idx="22">
                  <c:v>0.20662608719364542</c:v>
                </c:pt>
                <c:pt idx="23">
                  <c:v>0.19935893114631809</c:v>
                </c:pt>
                <c:pt idx="24">
                  <c:v>0.19258558739727555</c:v>
                </c:pt>
                <c:pt idx="25">
                  <c:v>0.18625737710019713</c:v>
                </c:pt>
                <c:pt idx="26">
                  <c:v>0.18033181605146884</c:v>
                </c:pt>
                <c:pt idx="27">
                  <c:v>0.17477165969558581</c:v>
                </c:pt>
                <c:pt idx="28">
                  <c:v>0.16954411951781423</c:v>
                </c:pt>
                <c:pt idx="29">
                  <c:v>0.1646202159820882</c:v>
                </c:pt>
                <c:pt idx="30">
                  <c:v>0.15997424103871738</c:v>
                </c:pt>
                <c:pt idx="31">
                  <c:v>0.15558330914979729</c:v>
                </c:pt>
                <c:pt idx="32">
                  <c:v>0.15142698027938434</c:v>
                </c:pt>
                <c:pt idx="33">
                  <c:v>0.14728067756459604</c:v>
                </c:pt>
                <c:pt idx="34">
                  <c:v>0.14330237045442951</c:v>
                </c:pt>
                <c:pt idx="35">
                  <c:v>0.13948310445656367</c:v>
                </c:pt>
                <c:pt idx="36">
                  <c:v>0.13581451383937299</c:v>
                </c:pt>
                <c:pt idx="37">
                  <c:v>0.13228877578206558</c:v>
                </c:pt>
                <c:pt idx="38">
                  <c:v>0.12889856863705385</c:v>
                </c:pt>
                <c:pt idx="39">
                  <c:v>0.12563703388838265</c:v>
                </c:pt>
                <c:pt idx="40">
                  <c:v>0.12249774143683381</c:v>
                </c:pt>
                <c:pt idx="41">
                  <c:v>0.11947465788334115</c:v>
                </c:pt>
                <c:pt idx="42">
                  <c:v>0.11656211751836908</c:v>
                </c:pt>
                <c:pt idx="43">
                  <c:v>0.11375479575659041</c:v>
                </c:pt>
                <c:pt idx="44">
                  <c:v>0.11104768478410941</c:v>
                </c:pt>
                <c:pt idx="45">
                  <c:v>0.10843607121010786</c:v>
                </c:pt>
                <c:pt idx="46">
                  <c:v>0.10591551553655956</c:v>
                </c:pt>
                <c:pt idx="47">
                  <c:v>0.10348183327892503</c:v>
                </c:pt>
              </c:numCache>
            </c:numRef>
          </c:yVal>
          <c:smooth val="0"/>
        </c:ser>
        <c:ser>
          <c:idx val="2"/>
          <c:order val="3"/>
          <c:tx>
            <c:strRef>
              <c:f>[1]Se!$Q$9</c:f>
              <c:strCache>
                <c:ptCount val="1"/>
                <c:pt idx="0">
                  <c:v>D</c:v>
                </c:pt>
              </c:strCache>
            </c:strRef>
          </c:tx>
          <c:spPr>
            <a:ln w="12700">
              <a:solidFill>
                <a:srgbClr val="FF00FF"/>
              </a:solidFill>
              <a:prstDash val="solid"/>
            </a:ln>
          </c:spPr>
          <c:marker>
            <c:symbol val="none"/>
          </c:marker>
          <c:xVal>
            <c:numRef>
              <c:f>[1]T!$Q$25:$Q$72</c:f>
              <c:numCache>
                <c:formatCode>General</c:formatCode>
                <c:ptCount val="48"/>
                <c:pt idx="0">
                  <c:v>0</c:v>
                </c:pt>
                <c:pt idx="1">
                  <c:v>0.23680453730638037</c:v>
                </c:pt>
                <c:pt idx="2">
                  <c:v>0.7104136119191411</c:v>
                </c:pt>
                <c:pt idx="3">
                  <c:v>0.76939982485516978</c:v>
                </c:pt>
                <c:pt idx="4">
                  <c:v>0.82838603779119835</c:v>
                </c:pt>
                <c:pt idx="5">
                  <c:v>0.88737225072722703</c:v>
                </c:pt>
                <c:pt idx="6">
                  <c:v>0.9463584636632556</c:v>
                </c:pt>
                <c:pt idx="7">
                  <c:v>1.0053446765992842</c:v>
                </c:pt>
                <c:pt idx="8">
                  <c:v>1.064330889535313</c:v>
                </c:pt>
                <c:pt idx="9">
                  <c:v>1.1233171024713415</c:v>
                </c:pt>
                <c:pt idx="10">
                  <c:v>1.1823033154073701</c:v>
                </c:pt>
                <c:pt idx="11">
                  <c:v>1.2412895283433989</c:v>
                </c:pt>
                <c:pt idx="12">
                  <c:v>1.3002757412794272</c:v>
                </c:pt>
                <c:pt idx="13">
                  <c:v>1.359261954215456</c:v>
                </c:pt>
                <c:pt idx="14">
                  <c:v>1.4182481671514848</c:v>
                </c:pt>
                <c:pt idx="15">
                  <c:v>1.4772343800875132</c:v>
                </c:pt>
                <c:pt idx="16">
                  <c:v>1.536220593023542</c:v>
                </c:pt>
                <c:pt idx="17">
                  <c:v>1.5952068059595705</c:v>
                </c:pt>
                <c:pt idx="18">
                  <c:v>1.6541930188955991</c:v>
                </c:pt>
                <c:pt idx="19">
                  <c:v>1.7131792318316279</c:v>
                </c:pt>
                <c:pt idx="20">
                  <c:v>1.7721654447676565</c:v>
                </c:pt>
                <c:pt idx="21">
                  <c:v>1.831151657703685</c:v>
                </c:pt>
                <c:pt idx="22">
                  <c:v>1.8901378706397136</c:v>
                </c:pt>
                <c:pt idx="23">
                  <c:v>1.9491240835757424</c:v>
                </c:pt>
                <c:pt idx="24">
                  <c:v>2.008110296511771</c:v>
                </c:pt>
                <c:pt idx="25">
                  <c:v>2.0670965094477998</c:v>
                </c:pt>
                <c:pt idx="26">
                  <c:v>2.1260827223838286</c:v>
                </c:pt>
                <c:pt idx="27">
                  <c:v>2.1850689353198565</c:v>
                </c:pt>
                <c:pt idx="28">
                  <c:v>2.2440551482558853</c:v>
                </c:pt>
                <c:pt idx="29">
                  <c:v>2.303041361191914</c:v>
                </c:pt>
                <c:pt idx="30">
                  <c:v>2.3620275741279428</c:v>
                </c:pt>
                <c:pt idx="31">
                  <c:v>2.4210137870639716</c:v>
                </c:pt>
                <c:pt idx="32">
                  <c:v>2.48</c:v>
                </c:pt>
                <c:pt idx="33">
                  <c:v>2.5146666666666668</c:v>
                </c:pt>
                <c:pt idx="34">
                  <c:v>2.5493333333333332</c:v>
                </c:pt>
                <c:pt idx="35">
                  <c:v>2.5840000000000001</c:v>
                </c:pt>
                <c:pt idx="36">
                  <c:v>2.6186666666666665</c:v>
                </c:pt>
                <c:pt idx="37">
                  <c:v>2.6533333333333333</c:v>
                </c:pt>
                <c:pt idx="38">
                  <c:v>2.6880000000000002</c:v>
                </c:pt>
                <c:pt idx="39">
                  <c:v>2.7226666666666666</c:v>
                </c:pt>
                <c:pt idx="40">
                  <c:v>2.7573333333333334</c:v>
                </c:pt>
                <c:pt idx="41">
                  <c:v>2.7919999999999998</c:v>
                </c:pt>
                <c:pt idx="42">
                  <c:v>2.8266666666666667</c:v>
                </c:pt>
                <c:pt idx="43">
                  <c:v>2.8613333333333335</c:v>
                </c:pt>
                <c:pt idx="44">
                  <c:v>2.8959999999999999</c:v>
                </c:pt>
                <c:pt idx="45">
                  <c:v>2.9306666666666668</c:v>
                </c:pt>
                <c:pt idx="46">
                  <c:v>2.9653333333333332</c:v>
                </c:pt>
                <c:pt idx="47">
                  <c:v>3</c:v>
                </c:pt>
              </c:numCache>
            </c:numRef>
          </c:xVal>
          <c:yVal>
            <c:numRef>
              <c:f>[1]Se!$Q$25:$Q$72</c:f>
              <c:numCache>
                <c:formatCode>General</c:formatCode>
                <c:ptCount val="48"/>
                <c:pt idx="0">
                  <c:v>0.3435959999999999</c:v>
                </c:pt>
                <c:pt idx="1">
                  <c:v>0.87273383999999987</c:v>
                </c:pt>
                <c:pt idx="2">
                  <c:v>0.87273383999999987</c:v>
                </c:pt>
                <c:pt idx="3">
                  <c:v>0.80582550124074903</c:v>
                </c:pt>
                <c:pt idx="4">
                  <c:v>0.74844573813874249</c:v>
                </c:pt>
                <c:pt idx="5">
                  <c:v>0.69869437432864534</c:v>
                </c:pt>
                <c:pt idx="6">
                  <c:v>0.65514498292591816</c:v>
                </c:pt>
                <c:pt idx="7">
                  <c:v>0.61670590589458651</c:v>
                </c:pt>
                <c:pt idx="8">
                  <c:v>0.5825274880344351</c:v>
                </c:pt>
                <c:pt idx="9">
                  <c:v>0.55193853824038919</c:v>
                </c:pt>
                <c:pt idx="10">
                  <c:v>0.52440181080337755</c:v>
                </c:pt>
                <c:pt idx="11">
                  <c:v>0.49948217991164756</c:v>
                </c:pt>
                <c:pt idx="12">
                  <c:v>0.47682347661766017</c:v>
                </c:pt>
                <c:pt idx="13">
                  <c:v>0.45613135687029271</c:v>
                </c:pt>
                <c:pt idx="14">
                  <c:v>0.43716044475045568</c:v>
                </c:pt>
                <c:pt idx="15">
                  <c:v>0.4197045559430671</c:v>
                </c:pt>
                <c:pt idx="16">
                  <c:v>0.40358917354322982</c:v>
                </c:pt>
                <c:pt idx="17">
                  <c:v>0.38866559320219901</c:v>
                </c:pt>
                <c:pt idx="18">
                  <c:v>0.37480632092885879</c:v>
                </c:pt>
                <c:pt idx="19">
                  <c:v>0.36190142163677347</c:v>
                </c:pt>
                <c:pt idx="20">
                  <c:v>0.34985559691902712</c:v>
                </c:pt>
                <c:pt idx="21">
                  <c:v>0.3385858276184297</c:v>
                </c:pt>
                <c:pt idx="22">
                  <c:v>0.32801945781268493</c:v>
                </c:pt>
                <c:pt idx="23">
                  <c:v>0.31809262670493732</c:v>
                </c:pt>
                <c:pt idx="24">
                  <c:v>0.30874897688411279</c:v>
                </c:pt>
                <c:pt idx="25">
                  <c:v>0.29993858375005811</c:v>
                </c:pt>
                <c:pt idx="26">
                  <c:v>0.29161706315137947</c:v>
                </c:pt>
                <c:pt idx="27">
                  <c:v>0.28374482355985903</c:v>
                </c:pt>
                <c:pt idx="28">
                  <c:v>0.27628643618689003</c:v>
                </c:pt>
                <c:pt idx="29">
                  <c:v>0.26921010189655753</c:v>
                </c:pt>
                <c:pt idx="30">
                  <c:v>0.26248719799444575</c:v>
                </c:pt>
                <c:pt idx="31">
                  <c:v>0.25609189126938214</c:v>
                </c:pt>
                <c:pt idx="32">
                  <c:v>0.25000080625744425</c:v>
                </c:pt>
                <c:pt idx="33">
                  <c:v>0.24315540116667375</c:v>
                </c:pt>
                <c:pt idx="34">
                  <c:v>0.2365873511187474</c:v>
                </c:pt>
                <c:pt idx="35">
                  <c:v>0.23028187255068475</c:v>
                </c:pt>
                <c:pt idx="36">
                  <c:v>0.22422515392343603</c:v>
                </c:pt>
                <c:pt idx="37">
                  <c:v>0.21840428002531603</c:v>
                </c:pt>
                <c:pt idx="38">
                  <c:v>0.21280716306459385</c:v>
                </c:pt>
                <c:pt idx="39">
                  <c:v>0.20742247986414919</c:v>
                </c:pt>
                <c:pt idx="40">
                  <c:v>0.20223961454835732</c:v>
                </c:pt>
                <c:pt idx="41">
                  <c:v>0.19724860618008386</c:v>
                </c:pt>
                <c:pt idx="42">
                  <c:v>0.19244010086513308</c:v>
                </c:pt>
                <c:pt idx="43">
                  <c:v>0.18780530789380229</c:v>
                </c:pt>
                <c:pt idx="44">
                  <c:v>0.18333595953527357</c:v>
                </c:pt>
                <c:pt idx="45">
                  <c:v>0.17902427414123973</c:v>
                </c:pt>
                <c:pt idx="46">
                  <c:v>0.17486292225109948</c:v>
                </c:pt>
                <c:pt idx="47">
                  <c:v>0.17084499542286499</c:v>
                </c:pt>
              </c:numCache>
            </c:numRef>
          </c:yVal>
          <c:smooth val="0"/>
        </c:ser>
        <c:ser>
          <c:idx val="3"/>
          <c:order val="4"/>
          <c:tx>
            <c:strRef>
              <c:f>[1]Se!$R$9</c:f>
              <c:strCache>
                <c:ptCount val="1"/>
                <c:pt idx="0">
                  <c:v>E</c:v>
                </c:pt>
              </c:strCache>
            </c:strRef>
          </c:tx>
          <c:spPr>
            <a:ln w="12700">
              <a:solidFill>
                <a:srgbClr val="FF0000"/>
              </a:solidFill>
              <a:prstDash val="solid"/>
            </a:ln>
          </c:spPr>
          <c:marker>
            <c:symbol val="none"/>
          </c:marker>
          <c:xVal>
            <c:numRef>
              <c:f>[1]T!$R$25:$R$72</c:f>
              <c:numCache>
                <c:formatCode>General</c:formatCode>
                <c:ptCount val="48"/>
                <c:pt idx="0">
                  <c:v>0</c:v>
                </c:pt>
                <c:pt idx="1">
                  <c:v>0.19457995518554907</c:v>
                </c:pt>
                <c:pt idx="2">
                  <c:v>0.58373986555664725</c:v>
                </c:pt>
                <c:pt idx="3">
                  <c:v>0.64694853670475905</c:v>
                </c:pt>
                <c:pt idx="4">
                  <c:v>0.71015720785287073</c:v>
                </c:pt>
                <c:pt idx="5">
                  <c:v>0.77336587900098253</c:v>
                </c:pt>
                <c:pt idx="6">
                  <c:v>0.83657455014909421</c:v>
                </c:pt>
                <c:pt idx="7">
                  <c:v>0.899783221297206</c:v>
                </c:pt>
                <c:pt idx="8">
                  <c:v>0.9629918924453178</c:v>
                </c:pt>
                <c:pt idx="9">
                  <c:v>1.0262005635934295</c:v>
                </c:pt>
                <c:pt idx="10">
                  <c:v>1.0894092347415412</c:v>
                </c:pt>
                <c:pt idx="11">
                  <c:v>1.1526179058896531</c:v>
                </c:pt>
                <c:pt idx="12">
                  <c:v>1.2158265770377648</c:v>
                </c:pt>
                <c:pt idx="13">
                  <c:v>1.2790352481858767</c:v>
                </c:pt>
                <c:pt idx="14">
                  <c:v>1.3422439193339883</c:v>
                </c:pt>
                <c:pt idx="15">
                  <c:v>1.4054525904821</c:v>
                </c:pt>
                <c:pt idx="16">
                  <c:v>1.4686612616302119</c:v>
                </c:pt>
                <c:pt idx="17">
                  <c:v>1.5318699327783236</c:v>
                </c:pt>
                <c:pt idx="18">
                  <c:v>1.5950786039264353</c:v>
                </c:pt>
                <c:pt idx="19">
                  <c:v>1.6582872750745472</c:v>
                </c:pt>
                <c:pt idx="20">
                  <c:v>1.7214959462226589</c:v>
                </c:pt>
                <c:pt idx="21">
                  <c:v>1.7847046173707706</c:v>
                </c:pt>
                <c:pt idx="22">
                  <c:v>1.8479132885188823</c:v>
                </c:pt>
                <c:pt idx="23">
                  <c:v>1.9111219596669942</c:v>
                </c:pt>
                <c:pt idx="24">
                  <c:v>1.9743306308151058</c:v>
                </c:pt>
                <c:pt idx="25">
                  <c:v>2.0375393019632178</c:v>
                </c:pt>
                <c:pt idx="26">
                  <c:v>2.1007479731113294</c:v>
                </c:pt>
                <c:pt idx="27">
                  <c:v>2.1639566442594411</c:v>
                </c:pt>
                <c:pt idx="28">
                  <c:v>2.2271653154075528</c:v>
                </c:pt>
                <c:pt idx="29">
                  <c:v>2.2903739865556645</c:v>
                </c:pt>
                <c:pt idx="30">
                  <c:v>2.3535826577037766</c:v>
                </c:pt>
                <c:pt idx="31">
                  <c:v>2.4167913288518883</c:v>
                </c:pt>
                <c:pt idx="32">
                  <c:v>2.48</c:v>
                </c:pt>
                <c:pt idx="33">
                  <c:v>2.5146666666666668</c:v>
                </c:pt>
                <c:pt idx="34">
                  <c:v>2.5493333333333332</c:v>
                </c:pt>
                <c:pt idx="35">
                  <c:v>2.5840000000000001</c:v>
                </c:pt>
                <c:pt idx="36">
                  <c:v>2.6186666666666665</c:v>
                </c:pt>
                <c:pt idx="37">
                  <c:v>2.6533333333333333</c:v>
                </c:pt>
                <c:pt idx="38">
                  <c:v>2.6880000000000002</c:v>
                </c:pt>
                <c:pt idx="39">
                  <c:v>2.7226666666666666</c:v>
                </c:pt>
                <c:pt idx="40">
                  <c:v>2.7573333333333334</c:v>
                </c:pt>
                <c:pt idx="41">
                  <c:v>2.7919999999999998</c:v>
                </c:pt>
                <c:pt idx="42">
                  <c:v>2.8266666666666667</c:v>
                </c:pt>
                <c:pt idx="43">
                  <c:v>2.8613333333333335</c:v>
                </c:pt>
                <c:pt idx="44">
                  <c:v>2.8959999999999999</c:v>
                </c:pt>
                <c:pt idx="45">
                  <c:v>2.9306666666666668</c:v>
                </c:pt>
                <c:pt idx="46">
                  <c:v>2.9653333333333332</c:v>
                </c:pt>
                <c:pt idx="47">
                  <c:v>3</c:v>
                </c:pt>
              </c:numCache>
            </c:numRef>
          </c:xVal>
          <c:yVal>
            <c:numRef>
              <c:f>[1]Se!$R$25:$R$72</c:f>
              <c:numCache>
                <c:formatCode>General</c:formatCode>
                <c:ptCount val="48"/>
                <c:pt idx="0">
                  <c:v>0.3047704</c:v>
                </c:pt>
                <c:pt idx="1">
                  <c:v>0.77411681600000004</c:v>
                </c:pt>
                <c:pt idx="2">
                  <c:v>0.77411681600000004</c:v>
                </c:pt>
                <c:pt idx="3">
                  <c:v>0.6984834503199453</c:v>
                </c:pt>
                <c:pt idx="4">
                  <c:v>0.63631382051761176</c:v>
                </c:pt>
                <c:pt idx="5">
                  <c:v>0.58430667600788444</c:v>
                </c:pt>
                <c:pt idx="6">
                  <c:v>0.54015849037774977</c:v>
                </c:pt>
                <c:pt idx="7">
                  <c:v>0.50221301687033704</c:v>
                </c:pt>
                <c:pt idx="8">
                  <c:v>0.46924885831542912</c:v>
                </c:pt>
                <c:pt idx="9">
                  <c:v>0.44034554465126119</c:v>
                </c:pt>
                <c:pt idx="10">
                  <c:v>0.41479623238569996</c:v>
                </c:pt>
                <c:pt idx="11">
                  <c:v>0.39204912902007377</c:v>
                </c:pt>
                <c:pt idx="12">
                  <c:v>0.37166718891599287</c:v>
                </c:pt>
                <c:pt idx="13">
                  <c:v>0.35329975990724977</c:v>
                </c:pt>
                <c:pt idx="14">
                  <c:v>0.33666224118281041</c:v>
                </c:pt>
                <c:pt idx="15">
                  <c:v>0.32152123035468205</c:v>
                </c:pt>
                <c:pt idx="16">
                  <c:v>0.3076835059946979</c:v>
                </c:pt>
                <c:pt idx="17">
                  <c:v>0.29498773781492565</c:v>
                </c:pt>
                <c:pt idx="18">
                  <c:v>0.28329816786748185</c:v>
                </c:pt>
                <c:pt idx="19">
                  <c:v>0.27249973686053025</c:v>
                </c:pt>
                <c:pt idx="20">
                  <c:v>0.26249428416518222</c:v>
                </c:pt>
                <c:pt idx="21">
                  <c:v>0.25319755532581878</c:v>
                </c:pt>
                <c:pt idx="22">
                  <c:v>0.24453682372681443</c:v>
                </c:pt>
                <c:pt idx="23">
                  <c:v>0.2364489842268982</c:v>
                </c:pt>
                <c:pt idx="24">
                  <c:v>0.22887901299004779</c:v>
                </c:pt>
                <c:pt idx="25">
                  <c:v>0.22177871399171539</c:v>
                </c:pt>
                <c:pt idx="26">
                  <c:v>0.2151056918206686</c:v>
                </c:pt>
                <c:pt idx="27">
                  <c:v>0.20882250450614978</c:v>
                </c:pt>
                <c:pt idx="28">
                  <c:v>0.20289596060555076</c:v>
                </c:pt>
                <c:pt idx="29">
                  <c:v>0.19729653268396369</c:v>
                </c:pt>
                <c:pt idx="30">
                  <c:v>0.19199786530456928</c:v>
                </c:pt>
                <c:pt idx="31">
                  <c:v>0.18697636022703276</c:v>
                </c:pt>
                <c:pt idx="32">
                  <c:v>0.18221082503910482</c:v>
                </c:pt>
                <c:pt idx="33">
                  <c:v>0.1772216134921959</c:v>
                </c:pt>
                <c:pt idx="34">
                  <c:v>0.17243454965809613</c:v>
                </c:pt>
                <c:pt idx="35">
                  <c:v>0.16783885867072407</c:v>
                </c:pt>
                <c:pt idx="36">
                  <c:v>0.1634244741148429</c:v>
                </c:pt>
                <c:pt idx="37">
                  <c:v>0.15918198285530338</c:v>
                </c:pt>
                <c:pt idx="38">
                  <c:v>0.15510257481450157</c:v>
                </c:pt>
                <c:pt idx="39">
                  <c:v>0.15117799719727232</c:v>
                </c:pt>
                <c:pt idx="40">
                  <c:v>0.14740051271874424</c:v>
                </c:pt>
                <c:pt idx="41">
                  <c:v>0.14376286144003722</c:v>
                </c:pt>
                <c:pt idx="42">
                  <c:v>0.1402582258600229</c:v>
                </c:pt>
                <c:pt idx="43">
                  <c:v>0.13688019894949377</c:v>
                </c:pt>
                <c:pt idx="44">
                  <c:v>0.13362275484766928</c:v>
                </c:pt>
                <c:pt idx="45">
                  <c:v>0.13048022197060749</c:v>
                </c:pt>
                <c:pt idx="46">
                  <c:v>0.12744725830728365</c:v>
                </c:pt>
                <c:pt idx="47">
                  <c:v>0.1245188287022789</c:v>
                </c:pt>
              </c:numCache>
            </c:numRef>
          </c:yVal>
          <c:smooth val="0"/>
        </c:ser>
        <c:ser>
          <c:idx val="5"/>
          <c:order val="5"/>
          <c:tx>
            <c:strRef>
              <c:f>[1]Se!$S$9</c:f>
              <c:strCache>
                <c:ptCount val="1"/>
                <c:pt idx="0">
                  <c:v>vert</c:v>
                </c:pt>
              </c:strCache>
            </c:strRef>
          </c:tx>
          <c:spPr>
            <a:ln w="25400">
              <a:solidFill>
                <a:srgbClr val="00FF00"/>
              </a:solidFill>
              <a:prstDash val="solid"/>
            </a:ln>
          </c:spPr>
          <c:marker>
            <c:symbol val="none"/>
          </c:marker>
          <c:xVal>
            <c:numRef>
              <c:f>[1]T!$S$25:$S$72</c:f>
              <c:numCache>
                <c:formatCode>General</c:formatCode>
                <c:ptCount val="48"/>
                <c:pt idx="0">
                  <c:v>0</c:v>
                </c:pt>
                <c:pt idx="1">
                  <c:v>0.05</c:v>
                </c:pt>
                <c:pt idx="2">
                  <c:v>0.15</c:v>
                </c:pt>
                <c:pt idx="3">
                  <c:v>0.17833333333333332</c:v>
                </c:pt>
                <c:pt idx="4">
                  <c:v>0.20666666666666667</c:v>
                </c:pt>
                <c:pt idx="5">
                  <c:v>0.23499999999999999</c:v>
                </c:pt>
                <c:pt idx="6">
                  <c:v>0.26333333333333331</c:v>
                </c:pt>
                <c:pt idx="7">
                  <c:v>0.29166666666666663</c:v>
                </c:pt>
                <c:pt idx="8">
                  <c:v>0.31999999999999995</c:v>
                </c:pt>
                <c:pt idx="9">
                  <c:v>0.34833333333333333</c:v>
                </c:pt>
                <c:pt idx="10">
                  <c:v>0.37666666666666665</c:v>
                </c:pt>
                <c:pt idx="11">
                  <c:v>0.40500000000000003</c:v>
                </c:pt>
                <c:pt idx="12">
                  <c:v>0.43333333333333335</c:v>
                </c:pt>
                <c:pt idx="13">
                  <c:v>0.46166666666666667</c:v>
                </c:pt>
                <c:pt idx="14">
                  <c:v>0.49</c:v>
                </c:pt>
                <c:pt idx="15">
                  <c:v>0.51833333333333331</c:v>
                </c:pt>
                <c:pt idx="16">
                  <c:v>0.54666666666666663</c:v>
                </c:pt>
                <c:pt idx="17">
                  <c:v>0.57499999999999996</c:v>
                </c:pt>
                <c:pt idx="18">
                  <c:v>0.60333333333333328</c:v>
                </c:pt>
                <c:pt idx="19">
                  <c:v>0.6316666666666666</c:v>
                </c:pt>
                <c:pt idx="20">
                  <c:v>0.66</c:v>
                </c:pt>
                <c:pt idx="21">
                  <c:v>0.68833333333333335</c:v>
                </c:pt>
                <c:pt idx="22">
                  <c:v>0.71666666666666667</c:v>
                </c:pt>
                <c:pt idx="23">
                  <c:v>0.745</c:v>
                </c:pt>
                <c:pt idx="24">
                  <c:v>0.77333333333333332</c:v>
                </c:pt>
                <c:pt idx="25">
                  <c:v>0.80166666666666675</c:v>
                </c:pt>
                <c:pt idx="26">
                  <c:v>0.83</c:v>
                </c:pt>
                <c:pt idx="27">
                  <c:v>0.85833333333333339</c:v>
                </c:pt>
                <c:pt idx="28">
                  <c:v>0.8866666666666666</c:v>
                </c:pt>
                <c:pt idx="29">
                  <c:v>0.91500000000000004</c:v>
                </c:pt>
                <c:pt idx="30">
                  <c:v>0.94333333333333336</c:v>
                </c:pt>
                <c:pt idx="31">
                  <c:v>0.97166666666666668</c:v>
                </c:pt>
                <c:pt idx="32">
                  <c:v>1</c:v>
                </c:pt>
                <c:pt idx="33">
                  <c:v>1.1333333333333333</c:v>
                </c:pt>
                <c:pt idx="34">
                  <c:v>1.2666666666666666</c:v>
                </c:pt>
                <c:pt idx="35">
                  <c:v>1.4</c:v>
                </c:pt>
                <c:pt idx="36">
                  <c:v>1.5333333333333332</c:v>
                </c:pt>
                <c:pt idx="37">
                  <c:v>1.6666666666666665</c:v>
                </c:pt>
                <c:pt idx="38">
                  <c:v>1.8</c:v>
                </c:pt>
                <c:pt idx="39">
                  <c:v>1.9333333333333333</c:v>
                </c:pt>
                <c:pt idx="40">
                  <c:v>2.0666666666666664</c:v>
                </c:pt>
                <c:pt idx="41">
                  <c:v>2.2000000000000002</c:v>
                </c:pt>
                <c:pt idx="42">
                  <c:v>2.333333333333333</c:v>
                </c:pt>
                <c:pt idx="43">
                  <c:v>2.4666666666666668</c:v>
                </c:pt>
                <c:pt idx="44">
                  <c:v>2.6</c:v>
                </c:pt>
                <c:pt idx="45">
                  <c:v>2.7333333333333334</c:v>
                </c:pt>
                <c:pt idx="46">
                  <c:v>2.8666666666666667</c:v>
                </c:pt>
                <c:pt idx="47">
                  <c:v>3</c:v>
                </c:pt>
              </c:numCache>
            </c:numRef>
          </c:xVal>
          <c:yVal>
            <c:numRef>
              <c:f>[1]Se!$S$25:$S$72</c:f>
              <c:numCache>
                <c:formatCode>General</c:formatCode>
                <c:ptCount val="48"/>
                <c:pt idx="0">
                  <c:v>0.22</c:v>
                </c:pt>
                <c:pt idx="1">
                  <c:v>0.35383558408955995</c:v>
                </c:pt>
                <c:pt idx="2">
                  <c:v>0.35383558408955995</c:v>
                </c:pt>
                <c:pt idx="3">
                  <c:v>0.29761871558934949</c:v>
                </c:pt>
                <c:pt idx="4">
                  <c:v>0.25681614974242256</c:v>
                </c:pt>
                <c:pt idx="5">
                  <c:v>0.22585250048269784</c:v>
                </c:pt>
                <c:pt idx="6">
                  <c:v>0.20155191498772404</c:v>
                </c:pt>
                <c:pt idx="7">
                  <c:v>0.18197258610320227</c:v>
                </c:pt>
                <c:pt idx="8">
                  <c:v>0.16586043004198125</c:v>
                </c:pt>
                <c:pt idx="9">
                  <c:v>0.15236939027780094</c:v>
                </c:pt>
                <c:pt idx="10">
                  <c:v>0.14090797596486901</c:v>
                </c:pt>
                <c:pt idx="11">
                  <c:v>0.13105021632946665</c:v>
                </c:pt>
                <c:pt idx="12">
                  <c:v>0.12248154833869382</c:v>
                </c:pt>
                <c:pt idx="13">
                  <c:v>0.11496463020960432</c:v>
                </c:pt>
                <c:pt idx="14">
                  <c:v>0.1083170155376204</c:v>
                </c:pt>
                <c:pt idx="15">
                  <c:v>0.10239614973652861</c:v>
                </c:pt>
                <c:pt idx="16">
                  <c:v>9.7089032219696336E-2</c:v>
                </c:pt>
                <c:pt idx="17">
                  <c:v>9.2304934979885206E-2</c:v>
                </c:pt>
                <c:pt idx="18">
                  <c:v>8.7970172839945848E-2</c:v>
                </c:pt>
                <c:pt idx="19">
                  <c:v>8.4024281182217414E-2</c:v>
                </c:pt>
                <c:pt idx="20">
                  <c:v>8.0417178202172715E-2</c:v>
                </c:pt>
                <c:pt idx="21">
                  <c:v>7.7107028009831463E-2</c:v>
                </c:pt>
                <c:pt idx="22">
                  <c:v>7.4058610623396262E-2</c:v>
                </c:pt>
                <c:pt idx="23">
                  <c:v>7.1242063910649647E-2</c:v>
                </c:pt>
                <c:pt idx="24">
                  <c:v>6.8631902086337057E-2</c:v>
                </c:pt>
                <c:pt idx="25">
                  <c:v>6.6206242345239905E-2</c:v>
                </c:pt>
                <c:pt idx="26">
                  <c:v>6.3946189895703609E-2</c:v>
                </c:pt>
                <c:pt idx="27">
                  <c:v>6.1835344792350276E-2</c:v>
                </c:pt>
                <c:pt idx="28">
                  <c:v>5.9859403323421802E-2</c:v>
                </c:pt>
                <c:pt idx="29">
                  <c:v>5.8005833457304909E-2</c:v>
                </c:pt>
                <c:pt idx="30">
                  <c:v>5.6263608777491862E-2</c:v>
                </c:pt>
                <c:pt idx="31">
                  <c:v>5.4622988967513539E-2</c:v>
                </c:pt>
                <c:pt idx="32">
                  <c:v>5.3075337613433991E-2</c:v>
                </c:pt>
                <c:pt idx="33">
                  <c:v>4.1321629629836161E-2</c:v>
                </c:pt>
                <c:pt idx="34">
                  <c:v>3.3080196573469944E-2</c:v>
                </c:pt>
                <c:pt idx="35">
                  <c:v>2.7079253884405102E-2</c:v>
                </c:pt>
                <c:pt idx="36">
                  <c:v>2.257457648964584E-2</c:v>
                </c:pt>
                <c:pt idx="37">
                  <c:v>1.9107121540836242E-2</c:v>
                </c:pt>
                <c:pt idx="38">
                  <c:v>1.6381277041183331E-2</c:v>
                </c:pt>
                <c:pt idx="39">
                  <c:v>1.4199703879931806E-2</c:v>
                </c:pt>
                <c:pt idx="40">
                  <c:v>1.2426587890762385E-2</c:v>
                </c:pt>
                <c:pt idx="41">
                  <c:v>1.0965978845750823E-2</c:v>
                </c:pt>
                <c:pt idx="42">
                  <c:v>9.7485313983858377E-3</c:v>
                </c:pt>
                <c:pt idx="43">
                  <c:v>8.7231197684606628E-3</c:v>
                </c:pt>
                <c:pt idx="44">
                  <c:v>7.8513813037624242E-3</c:v>
                </c:pt>
                <c:pt idx="45">
                  <c:v>7.1040755282704626E-3</c:v>
                </c:pt>
                <c:pt idx="46">
                  <c:v>6.4585997636682786E-3</c:v>
                </c:pt>
                <c:pt idx="47">
                  <c:v>5.8972597348259988E-3</c:v>
                </c:pt>
              </c:numCache>
            </c:numRef>
          </c:yVal>
          <c:smooth val="0"/>
        </c:ser>
        <c:dLbls>
          <c:showLegendKey val="0"/>
          <c:showVal val="0"/>
          <c:showCatName val="0"/>
          <c:showSerName val="0"/>
          <c:showPercent val="0"/>
          <c:showBubbleSize val="0"/>
        </c:dLbls>
        <c:axId val="82395856"/>
        <c:axId val="203300032"/>
      </c:scatterChart>
      <c:valAx>
        <c:axId val="82395856"/>
        <c:scaling>
          <c:orientation val="minMax"/>
          <c:max val="3"/>
          <c:min val="0"/>
        </c:scaling>
        <c:delete val="0"/>
        <c:axPos val="b"/>
        <c:numFmt formatCode="0.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it-IT"/>
          </a:p>
        </c:txPr>
        <c:crossAx val="203300032"/>
        <c:crosses val="autoZero"/>
        <c:crossBetween val="midCat"/>
        <c:majorUnit val="0.5"/>
      </c:valAx>
      <c:valAx>
        <c:axId val="203300032"/>
        <c:scaling>
          <c:orientation val="minMax"/>
          <c:max val="1"/>
          <c:min val="0"/>
        </c:scaling>
        <c:delete val="0"/>
        <c:axPos val="l"/>
        <c:numFmt formatCode="0.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it-IT"/>
          </a:p>
        </c:txPr>
        <c:crossAx val="82395856"/>
        <c:crosses val="autoZero"/>
        <c:crossBetween val="midCat"/>
        <c:majorUnit val="0.1"/>
      </c:valAx>
      <c:spPr>
        <a:noFill/>
        <a:ln w="25400">
          <a:noFill/>
        </a:ln>
      </c:spPr>
    </c:plotArea>
    <c:legend>
      <c:legendPos val="r"/>
      <c:layout>
        <c:manualLayout>
          <c:xMode val="edge"/>
          <c:yMode val="edge"/>
          <c:x val="0.84791666326683257"/>
          <c:y val="0.15932195232811519"/>
          <c:w val="8.0208341832918584E-2"/>
          <c:h val="0.17966106528704284"/>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it-IT"/>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JPG"/></Relationships>
</file>

<file path=xl/drawings/_rels/drawing4.xml.rels><?xml version="1.0" encoding="UTF-8" standalone="yes"?>
<Relationships xmlns="http://schemas.openxmlformats.org/package/2006/relationships"><Relationship Id="rId3" Type="http://schemas.openxmlformats.org/officeDocument/2006/relationships/image" Target="../media/image8.tmp"/><Relationship Id="rId2" Type="http://schemas.openxmlformats.org/officeDocument/2006/relationships/image" Target="../media/image7.tmp"/><Relationship Id="rId1" Type="http://schemas.openxmlformats.org/officeDocument/2006/relationships/image" Target="../media/image6.tmp"/><Relationship Id="rId5" Type="http://schemas.openxmlformats.org/officeDocument/2006/relationships/image" Target="../media/image10.tmp"/><Relationship Id="rId4" Type="http://schemas.openxmlformats.org/officeDocument/2006/relationships/image" Target="../media/image9.tmp"/></Relationships>
</file>

<file path=xl/drawings/drawing1.xml><?xml version="1.0" encoding="utf-8"?>
<xdr:wsDr xmlns:xdr="http://schemas.openxmlformats.org/drawingml/2006/spreadsheetDrawing" xmlns:a="http://schemas.openxmlformats.org/drawingml/2006/main">
  <xdr:twoCellAnchor editAs="oneCell">
    <xdr:from>
      <xdr:col>25</xdr:col>
      <xdr:colOff>295926</xdr:colOff>
      <xdr:row>6</xdr:row>
      <xdr:rowOff>54916</xdr:rowOff>
    </xdr:from>
    <xdr:to>
      <xdr:col>31</xdr:col>
      <xdr:colOff>572700</xdr:colOff>
      <xdr:row>30</xdr:row>
      <xdr:rowOff>69008</xdr:rowOff>
    </xdr:to>
    <xdr:pic>
      <xdr:nvPicPr>
        <xdr:cNvPr id="2" name="Immagine 1" descr="Ritaglio schermata"/>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231751" y="1369366"/>
          <a:ext cx="3934374" cy="4871842"/>
        </a:xfrm>
        <a:prstGeom prst="rect">
          <a:avLst/>
        </a:prstGeom>
        <a:solidFill>
          <a:srgbClr val="FFFFFF">
            <a:shade val="85000"/>
          </a:srgbClr>
        </a:solidFill>
        <a:ln w="190500" cap="rnd">
          <a:solidFill>
            <a:srgbClr val="FFFFFF"/>
          </a:solidFill>
        </a:ln>
        <a:effectLst>
          <a:outerShdw blurRad="50000" algn="tl" rotWithShape="0">
            <a:srgbClr val="000000">
              <a:alpha val="41000"/>
            </a:srgbClr>
          </a:outerShdw>
        </a:effectLst>
        <a:scene3d>
          <a:camera prst="orthographicFront"/>
          <a:lightRig rig="twoPt" dir="t">
            <a:rot lat="0" lon="0" rev="7800000"/>
          </a:lightRig>
        </a:scene3d>
        <a:sp3d contourW="6350">
          <a:bevelT w="50800" h="16510"/>
          <a:contourClr>
            <a:srgbClr val="C0C0C0"/>
          </a:contourClr>
        </a:sp3d>
      </xdr:spPr>
    </xdr:pic>
    <xdr:clientData/>
  </xdr:twoCellAnchor>
  <xdr:twoCellAnchor editAs="oneCell">
    <xdr:from>
      <xdr:col>18</xdr:col>
      <xdr:colOff>108238</xdr:colOff>
      <xdr:row>6</xdr:row>
      <xdr:rowOff>51233</xdr:rowOff>
    </xdr:from>
    <xdr:to>
      <xdr:col>25</xdr:col>
      <xdr:colOff>78810</xdr:colOff>
      <xdr:row>30</xdr:row>
      <xdr:rowOff>147175</xdr:rowOff>
    </xdr:to>
    <xdr:pic>
      <xdr:nvPicPr>
        <xdr:cNvPr id="3" name="Immagine 2" descr="Ritaglio schermata"/>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776863" y="1365683"/>
          <a:ext cx="4237772" cy="4953692"/>
        </a:xfrm>
        <a:prstGeom prst="rect">
          <a:avLst/>
        </a:prstGeom>
        <a:solidFill>
          <a:srgbClr val="FFFFFF">
            <a:shade val="85000"/>
          </a:srgbClr>
        </a:solidFill>
        <a:ln w="190500" cap="rnd">
          <a:solidFill>
            <a:srgbClr val="FFFFFF"/>
          </a:solidFill>
        </a:ln>
        <a:effectLst>
          <a:outerShdw blurRad="50000" algn="tl" rotWithShape="0">
            <a:srgbClr val="000000">
              <a:alpha val="41000"/>
            </a:srgbClr>
          </a:outerShdw>
        </a:effectLst>
        <a:scene3d>
          <a:camera prst="orthographicFront"/>
          <a:lightRig rig="twoPt" dir="t">
            <a:rot lat="0" lon="0" rev="7800000"/>
          </a:lightRig>
        </a:scene3d>
        <a:sp3d contourW="6350">
          <a:bevelT w="50800" h="16510"/>
          <a:contourClr>
            <a:srgbClr val="C0C0C0"/>
          </a:contourClr>
        </a:sp3d>
      </xdr:spPr>
    </xdr:pic>
    <xdr:clientData/>
  </xdr:twoCellAnchor>
  <xdr:twoCellAnchor editAs="oneCell">
    <xdr:from>
      <xdr:col>18</xdr:col>
      <xdr:colOff>111967</xdr:colOff>
      <xdr:row>0</xdr:row>
      <xdr:rowOff>0</xdr:rowOff>
    </xdr:from>
    <xdr:to>
      <xdr:col>31</xdr:col>
      <xdr:colOff>571500</xdr:colOff>
      <xdr:row>5</xdr:row>
      <xdr:rowOff>61036</xdr:rowOff>
    </xdr:to>
    <xdr:pic>
      <xdr:nvPicPr>
        <xdr:cNvPr id="4" name="Immagine 3" descr="Ritaglio schermata"/>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5780592" y="0"/>
          <a:ext cx="8384333" cy="1156411"/>
        </a:xfrm>
        <a:prstGeom prst="rect">
          <a:avLst/>
        </a:prstGeom>
        <a:solidFill>
          <a:srgbClr val="FFFFFF">
            <a:shade val="85000"/>
          </a:srgbClr>
        </a:solidFill>
        <a:ln w="190500" cap="rnd">
          <a:solidFill>
            <a:srgbClr val="FFFFFF"/>
          </a:solidFill>
        </a:ln>
        <a:effectLst>
          <a:outerShdw blurRad="50000" algn="tl" rotWithShape="0">
            <a:srgbClr val="000000">
              <a:alpha val="41000"/>
            </a:srgbClr>
          </a:outerShdw>
        </a:effectLst>
        <a:scene3d>
          <a:camera prst="orthographicFront"/>
          <a:lightRig rig="twoPt" dir="t">
            <a:rot lat="0" lon="0" rev="7800000"/>
          </a:lightRig>
        </a:scene3d>
        <a:sp3d contourW="6350">
          <a:bevelT w="50800" h="16510"/>
          <a:contourClr>
            <a:srgbClr val="C0C0C0"/>
          </a:contourClr>
        </a:sp3d>
      </xdr:spPr>
    </xdr:pic>
    <xdr:clientData/>
  </xdr:twoCellAnchor>
</xdr:wsDr>
</file>

<file path=xl/drawings/drawing2.xml><?xml version="1.0" encoding="utf-8"?>
<xdr:wsDr xmlns:xdr="http://schemas.openxmlformats.org/drawingml/2006/spreadsheetDrawing" xmlns:a="http://schemas.openxmlformats.org/drawingml/2006/main">
  <xdr:absoluteAnchor>
    <xdr:pos x="7505700" y="190500"/>
    <xdr:ext cx="9210675" cy="5619750"/>
    <xdr:graphicFrame macro="">
      <xdr:nvGraphicFramePr>
        <xdr:cNvPr id="2" name="Gra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7419975" y="6096000"/>
    <xdr:ext cx="9200522" cy="5610330"/>
    <xdr:graphicFrame macro="">
      <xdr:nvGraphicFramePr>
        <xdr:cNvPr id="3" name="Grafico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3.xml><?xml version="1.0" encoding="utf-8"?>
<xdr:wsDr xmlns:xdr="http://schemas.openxmlformats.org/drawingml/2006/spreadsheetDrawing" xmlns:a="http://schemas.openxmlformats.org/drawingml/2006/main">
  <xdr:twoCellAnchor editAs="oneCell">
    <xdr:from>
      <xdr:col>7</xdr:col>
      <xdr:colOff>228600</xdr:colOff>
      <xdr:row>44</xdr:row>
      <xdr:rowOff>47625</xdr:rowOff>
    </xdr:from>
    <xdr:to>
      <xdr:col>14</xdr:col>
      <xdr:colOff>152899</xdr:colOff>
      <xdr:row>64</xdr:row>
      <xdr:rowOff>37478</xdr:rowOff>
    </xdr:to>
    <xdr:pic>
      <xdr:nvPicPr>
        <xdr:cNvPr id="2" name="Immagin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05375" y="8267700"/>
          <a:ext cx="4601074" cy="3799853"/>
        </a:xfrm>
        <a:prstGeom prst="rect">
          <a:avLst/>
        </a:prstGeom>
      </xdr:spPr>
    </xdr:pic>
    <xdr:clientData/>
  </xdr:twoCellAnchor>
  <xdr:twoCellAnchor editAs="oneCell">
    <xdr:from>
      <xdr:col>1</xdr:col>
      <xdr:colOff>600075</xdr:colOff>
      <xdr:row>33</xdr:row>
      <xdr:rowOff>180975</xdr:rowOff>
    </xdr:from>
    <xdr:to>
      <xdr:col>7</xdr:col>
      <xdr:colOff>123826</xdr:colOff>
      <xdr:row>53</xdr:row>
      <xdr:rowOff>159526</xdr:rowOff>
    </xdr:to>
    <xdr:pic>
      <xdr:nvPicPr>
        <xdr:cNvPr id="3" name="Immagin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00075" y="6305550"/>
          <a:ext cx="4200526" cy="37885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26</xdr:col>
      <xdr:colOff>9524</xdr:colOff>
      <xdr:row>15</xdr:row>
      <xdr:rowOff>12105</xdr:rowOff>
    </xdr:from>
    <xdr:to>
      <xdr:col>33</xdr:col>
      <xdr:colOff>9525</xdr:colOff>
      <xdr:row>16</xdr:row>
      <xdr:rowOff>145558</xdr:rowOff>
    </xdr:to>
    <xdr:pic>
      <xdr:nvPicPr>
        <xdr:cNvPr id="10" name="Immagine 9" descr="Ritaglio schermata"/>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964024" y="2926755"/>
          <a:ext cx="4781551" cy="323953"/>
        </a:xfrm>
        <a:prstGeom prst="rect">
          <a:avLst/>
        </a:prstGeom>
      </xdr:spPr>
    </xdr:pic>
    <xdr:clientData/>
  </xdr:twoCellAnchor>
  <xdr:twoCellAnchor editAs="oneCell">
    <xdr:from>
      <xdr:col>25</xdr:col>
      <xdr:colOff>619126</xdr:colOff>
      <xdr:row>16</xdr:row>
      <xdr:rowOff>142875</xdr:rowOff>
    </xdr:from>
    <xdr:to>
      <xdr:col>33</xdr:col>
      <xdr:colOff>32408</xdr:colOff>
      <xdr:row>29</xdr:row>
      <xdr:rowOff>133711</xdr:rowOff>
    </xdr:to>
    <xdr:pic>
      <xdr:nvPicPr>
        <xdr:cNvPr id="2" name="Immagine 1" descr="Ritaglio schermata"/>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6925926" y="3248025"/>
          <a:ext cx="4842532" cy="2562586"/>
        </a:xfrm>
        <a:prstGeom prst="rect">
          <a:avLst/>
        </a:prstGeom>
      </xdr:spPr>
    </xdr:pic>
    <xdr:clientData/>
  </xdr:twoCellAnchor>
  <xdr:twoCellAnchor editAs="oneCell">
    <xdr:from>
      <xdr:col>34</xdr:col>
      <xdr:colOff>9525</xdr:colOff>
      <xdr:row>16</xdr:row>
      <xdr:rowOff>152400</xdr:rowOff>
    </xdr:from>
    <xdr:to>
      <xdr:col>42</xdr:col>
      <xdr:colOff>19732</xdr:colOff>
      <xdr:row>29</xdr:row>
      <xdr:rowOff>162285</xdr:rowOff>
    </xdr:to>
    <xdr:pic>
      <xdr:nvPicPr>
        <xdr:cNvPr id="3" name="Immagine 2" descr="Ritaglio schermata"/>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2355175" y="3257550"/>
          <a:ext cx="4887007" cy="2581635"/>
        </a:xfrm>
        <a:prstGeom prst="rect">
          <a:avLst/>
        </a:prstGeom>
      </xdr:spPr>
    </xdr:pic>
    <xdr:clientData/>
  </xdr:twoCellAnchor>
  <xdr:twoCellAnchor editAs="oneCell">
    <xdr:from>
      <xdr:col>34</xdr:col>
      <xdr:colOff>9524</xdr:colOff>
      <xdr:row>15</xdr:row>
      <xdr:rowOff>5008</xdr:rowOff>
    </xdr:from>
    <xdr:to>
      <xdr:col>42</xdr:col>
      <xdr:colOff>19049</xdr:colOff>
      <xdr:row>16</xdr:row>
      <xdr:rowOff>145559</xdr:rowOff>
    </xdr:to>
    <xdr:pic>
      <xdr:nvPicPr>
        <xdr:cNvPr id="11" name="Immagine 10" descr="Ritaglio schermata"/>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355174" y="2919658"/>
          <a:ext cx="4886325" cy="331051"/>
        </a:xfrm>
        <a:prstGeom prst="rect">
          <a:avLst/>
        </a:prstGeom>
      </xdr:spPr>
    </xdr:pic>
    <xdr:clientData/>
  </xdr:twoCellAnchor>
  <xdr:twoCellAnchor editAs="oneCell">
    <xdr:from>
      <xdr:col>34</xdr:col>
      <xdr:colOff>9525</xdr:colOff>
      <xdr:row>29</xdr:row>
      <xdr:rowOff>169787</xdr:rowOff>
    </xdr:from>
    <xdr:to>
      <xdr:col>42</xdr:col>
      <xdr:colOff>28575</xdr:colOff>
      <xdr:row>37</xdr:row>
      <xdr:rowOff>181184</xdr:rowOff>
    </xdr:to>
    <xdr:pic>
      <xdr:nvPicPr>
        <xdr:cNvPr id="5" name="Immagine 4" descr="Ritaglio schermata"/>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2355175" y="5837162"/>
          <a:ext cx="4895850" cy="1678272"/>
        </a:xfrm>
        <a:prstGeom prst="rect">
          <a:avLst/>
        </a:prstGeom>
      </xdr:spPr>
    </xdr:pic>
    <xdr:clientData/>
  </xdr:twoCellAnchor>
  <xdr:twoCellAnchor editAs="oneCell">
    <xdr:from>
      <xdr:col>25</xdr:col>
      <xdr:colOff>609600</xdr:colOff>
      <xdr:row>29</xdr:row>
      <xdr:rowOff>143711</xdr:rowOff>
    </xdr:from>
    <xdr:to>
      <xdr:col>33</xdr:col>
      <xdr:colOff>38100</xdr:colOff>
      <xdr:row>38</xdr:row>
      <xdr:rowOff>218</xdr:rowOff>
    </xdr:to>
    <xdr:pic>
      <xdr:nvPicPr>
        <xdr:cNvPr id="12" name="Immagine 11" descr="Ritaglio schermata"/>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6916400" y="5811086"/>
          <a:ext cx="4857750" cy="171388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c/Progetto%20di%20Strutture%20in%20zona%20Sismica%20Ghersi/Spettri%20GEG%20-%20CD-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sheetName val="spettri"/>
      <sheetName val="Se"/>
      <sheetName val="Sd"/>
      <sheetName val="T"/>
      <sheetName val="val x spettri"/>
      <sheetName val="SLO"/>
      <sheetName val="SLD"/>
      <sheetName val="SLV"/>
      <sheetName val="SLC"/>
      <sheetName val="suolo A"/>
      <sheetName val="suolo B"/>
      <sheetName val="suolo C"/>
      <sheetName val="suolo D"/>
      <sheetName val="suolo E"/>
      <sheetName val="Fig SLD"/>
      <sheetName val="Fig SLV"/>
    </sheetNames>
    <sheetDataSet>
      <sheetData sheetId="0"/>
      <sheetData sheetId="1" refreshError="1"/>
      <sheetData sheetId="2">
        <row r="9">
          <cell r="N9" t="str">
            <v>A</v>
          </cell>
          <cell r="O9" t="str">
            <v>B</v>
          </cell>
          <cell r="P9" t="str">
            <v>C</v>
          </cell>
          <cell r="Q9" t="str">
            <v>D</v>
          </cell>
          <cell r="R9" t="str">
            <v>E</v>
          </cell>
          <cell r="S9" t="str">
            <v>vert</v>
          </cell>
        </row>
        <row r="25">
          <cell r="N25">
            <v>0.21999999999999997</v>
          </cell>
          <cell r="O25">
            <v>0.25882559999999999</v>
          </cell>
          <cell r="P25">
            <v>0.30023839999999996</v>
          </cell>
          <cell r="Q25">
            <v>0.3435959999999999</v>
          </cell>
          <cell r="R25">
            <v>0.3047704</v>
          </cell>
          <cell r="S25">
            <v>0.22</v>
          </cell>
        </row>
        <row r="26">
          <cell r="N26">
            <v>0.55879999999999996</v>
          </cell>
          <cell r="O26">
            <v>0.65741702400000002</v>
          </cell>
          <cell r="P26">
            <v>0.76260553599999992</v>
          </cell>
          <cell r="Q26">
            <v>0.87273383999999987</v>
          </cell>
          <cell r="R26">
            <v>0.77411681600000004</v>
          </cell>
          <cell r="S26">
            <v>0.35383558408955995</v>
          </cell>
        </row>
        <row r="27">
          <cell r="N27">
            <v>0.55879999999999996</v>
          </cell>
          <cell r="O27">
            <v>0.65741702400000002</v>
          </cell>
          <cell r="P27">
            <v>0.76260553599999992</v>
          </cell>
          <cell r="Q27">
            <v>0.87273383999999987</v>
          </cell>
          <cell r="R27">
            <v>0.77411681600000004</v>
          </cell>
          <cell r="S27">
            <v>0.35383558408955995</v>
          </cell>
        </row>
        <row r="28">
          <cell r="N28">
            <v>0.45705849582172697</v>
          </cell>
          <cell r="O28">
            <v>0.57054290585235934</v>
          </cell>
          <cell r="P28">
            <v>0.67217301009513564</v>
          </cell>
          <cell r="Q28">
            <v>0.80582550124074903</v>
          </cell>
          <cell r="R28">
            <v>0.6984834503199453</v>
          </cell>
          <cell r="S28">
            <v>0.29761871558934949</v>
          </cell>
        </row>
        <row r="29">
          <cell r="N29">
            <v>0.38665895458440447</v>
          </cell>
          <cell r="O29">
            <v>0.50394878830274592</v>
          </cell>
          <cell r="P29">
            <v>0.60091440410486952</v>
          </cell>
          <cell r="Q29">
            <v>0.74844573813874249</v>
          </cell>
          <cell r="R29">
            <v>0.63631382051761176</v>
          </cell>
          <cell r="S29">
            <v>0.25681614974242256</v>
          </cell>
        </row>
        <row r="30">
          <cell r="N30">
            <v>0.33505179134954521</v>
          </cell>
          <cell r="O30">
            <v>0.45127562128440868</v>
          </cell>
          <cell r="P30">
            <v>0.54331620431151362</v>
          </cell>
          <cell r="Q30">
            <v>0.69869437432864534</v>
          </cell>
          <cell r="R30">
            <v>0.58430667600788444</v>
          </cell>
          <cell r="S30">
            <v>0.22585250048269784</v>
          </cell>
        </row>
        <row r="31">
          <cell r="N31">
            <v>0.29559842777595807</v>
          </cell>
          <cell r="O31">
            <v>0.40857138379613728</v>
          </cell>
          <cell r="P31">
            <v>0.49579390162262088</v>
          </cell>
          <cell r="Q31">
            <v>0.65514498292591816</v>
          </cell>
          <cell r="R31">
            <v>0.54015849037774977</v>
          </cell>
          <cell r="S31">
            <v>0.20155191498772404</v>
          </cell>
        </row>
        <row r="32">
          <cell r="N32">
            <v>0.26445772893772895</v>
          </cell>
          <cell r="O32">
            <v>0.37325065341678176</v>
          </cell>
          <cell r="P32">
            <v>0.45591622339911769</v>
          </cell>
          <cell r="Q32">
            <v>0.61670590589458651</v>
          </cell>
          <cell r="R32">
            <v>0.50221301687033704</v>
          </cell>
          <cell r="S32">
            <v>0.18197258610320227</v>
          </cell>
        </row>
        <row r="33">
          <cell r="N33">
            <v>0.23925291622481443</v>
          </cell>
          <cell r="O33">
            <v>0.34355090144497641</v>
          </cell>
          <cell r="P33">
            <v>0.42197587424188332</v>
          </cell>
          <cell r="Q33">
            <v>0.5825274880344351</v>
          </cell>
          <cell r="R33">
            <v>0.46924885831542912</v>
          </cell>
          <cell r="S33">
            <v>0.16586043004198125</v>
          </cell>
        </row>
        <row r="34">
          <cell r="N34">
            <v>0.21843446690064139</v>
          </cell>
          <cell r="O34">
            <v>0.3182292330059876</v>
          </cell>
          <cell r="P34">
            <v>0.39273872747265992</v>
          </cell>
          <cell r="Q34">
            <v>0.55193853824038919</v>
          </cell>
          <cell r="R34">
            <v>0.44034554465126119</v>
          </cell>
          <cell r="S34">
            <v>0.15236939027780094</v>
          </cell>
        </row>
        <row r="35">
          <cell r="N35">
            <v>0.20094900912936983</v>
          </cell>
          <cell r="O35">
            <v>0.29638403283752257</v>
          </cell>
          <cell r="P35">
            <v>0.36729052610793583</v>
          </cell>
          <cell r="Q35">
            <v>0.52440181080337755</v>
          </cell>
          <cell r="R35">
            <v>0.41479623238569996</v>
          </cell>
          <cell r="S35">
            <v>0.14090797596486901</v>
          </cell>
        </row>
        <row r="36">
          <cell r="N36">
            <v>0.18605545820018554</v>
          </cell>
          <cell r="O36">
            <v>0.27734535220624074</v>
          </cell>
          <cell r="P36">
            <v>0.34493955666530923</v>
          </cell>
          <cell r="Q36">
            <v>0.49948217991164756</v>
          </cell>
          <cell r="R36">
            <v>0.39204912902007377</v>
          </cell>
          <cell r="S36">
            <v>0.13105021632946665</v>
          </cell>
        </row>
        <row r="37">
          <cell r="N37">
            <v>0.17321727447216889</v>
          </cell>
          <cell r="O37">
            <v>0.26060499280993743</v>
          </cell>
          <cell r="P37">
            <v>0.32515282045107297</v>
          </cell>
          <cell r="Q37">
            <v>0.47682347661766017</v>
          </cell>
          <cell r="R37">
            <v>0.37166718891599287</v>
          </cell>
          <cell r="S37">
            <v>0.12248154833869382</v>
          </cell>
        </row>
        <row r="38">
          <cell r="N38">
            <v>0.16203644851422927</v>
          </cell>
          <cell r="O38">
            <v>0.24577046985288378</v>
          </cell>
          <cell r="P38">
            <v>0.30751298144526512</v>
          </cell>
          <cell r="Q38">
            <v>0.45613135687029271</v>
          </cell>
          <cell r="R38">
            <v>0.35329975990724977</v>
          </cell>
          <cell r="S38">
            <v>0.11496463020960432</v>
          </cell>
        </row>
        <row r="39">
          <cell r="N39">
            <v>0.15221150278293136</v>
          </cell>
          <cell r="O39">
            <v>0.23253385176253427</v>
          </cell>
          <cell r="P39">
            <v>0.29168860675333041</v>
          </cell>
          <cell r="Q39">
            <v>0.43716044475045568</v>
          </cell>
          <cell r="R39">
            <v>0.33666224118281041</v>
          </cell>
          <cell r="S39">
            <v>0.1083170155376204</v>
          </cell>
        </row>
        <row r="40">
          <cell r="N40">
            <v>0.14350989902202432</v>
          </cell>
          <cell r="O40">
            <v>0.22065015462783188</v>
          </cell>
          <cell r="P40">
            <v>0.27741314578656695</v>
          </cell>
          <cell r="Q40">
            <v>0.4197045559430671</v>
          </cell>
          <cell r="R40">
            <v>0.32152123035468205</v>
          </cell>
          <cell r="S40">
            <v>0.10239614973652861</v>
          </cell>
        </row>
        <row r="41">
          <cell r="N41">
            <v>0.13574939831528279</v>
          </cell>
          <cell r="O41">
            <v>0.20992203947344554</v>
          </cell>
          <cell r="P41">
            <v>0.26446979409219046</v>
          </cell>
          <cell r="Q41">
            <v>0.40358917354322982</v>
          </cell>
          <cell r="R41">
            <v>0.3076835059946979</v>
          </cell>
          <cell r="S41">
            <v>9.7089032219696336E-2</v>
          </cell>
        </row>
        <row r="42">
          <cell r="N42">
            <v>0.12878515875847305</v>
          </cell>
          <cell r="O42">
            <v>0.20018876670312669</v>
          </cell>
          <cell r="P42">
            <v>0.25268040557437632</v>
          </cell>
          <cell r="Q42">
            <v>0.38866559320219901</v>
          </cell>
          <cell r="R42">
            <v>0.29498773781492565</v>
          </cell>
          <cell r="S42">
            <v>9.2304934979885206E-2</v>
          </cell>
        </row>
        <row r="43">
          <cell r="N43">
            <v>0.12250061083208905</v>
          </cell>
          <cell r="O43">
            <v>0.19131808721911356</v>
          </cell>
          <cell r="P43">
            <v>0.24189724374782257</v>
          </cell>
          <cell r="Q43">
            <v>0.37480632092885879</v>
          </cell>
          <cell r="R43">
            <v>0.28329816786748185</v>
          </cell>
          <cell r="S43">
            <v>8.7970172839945848E-2</v>
          </cell>
        </row>
        <row r="44">
          <cell r="N44">
            <v>0.1168008800880088</v>
          </cell>
          <cell r="O44">
            <v>0.18320019796719211</v>
          </cell>
          <cell r="P44">
            <v>0.23199675864294769</v>
          </cell>
          <cell r="Q44">
            <v>0.36190142163677347</v>
          </cell>
          <cell r="R44">
            <v>0.27249973686053025</v>
          </cell>
          <cell r="S44">
            <v>8.4024281182217414E-2</v>
          </cell>
        </row>
        <row r="45">
          <cell r="N45">
            <v>0.11160796438288399</v>
          </cell>
          <cell r="O45">
            <v>0.17574317369131515</v>
          </cell>
          <cell r="P45">
            <v>0.22287483183372123</v>
          </cell>
          <cell r="Q45">
            <v>0.34985559691902712</v>
          </cell>
          <cell r="R45">
            <v>0.26249428416518222</v>
          </cell>
          <cell r="S45">
            <v>8.0417178202172715E-2</v>
          </cell>
        </row>
        <row r="46">
          <cell r="N46">
            <v>0.10685714285714286</v>
          </cell>
          <cell r="O46">
            <v>0.16886947073310762</v>
          </cell>
          <cell r="P46">
            <v>0.2144431007972267</v>
          </cell>
          <cell r="Q46">
            <v>0.3385858276184297</v>
          </cell>
          <cell r="R46">
            <v>0.25319755532581878</v>
          </cell>
          <cell r="S46">
            <v>7.7107028009831463E-2</v>
          </cell>
        </row>
        <row r="47">
          <cell r="N47">
            <v>0.10249426462237365</v>
          </cell>
          <cell r="O47">
            <v>0.16251322041372004</v>
          </cell>
          <cell r="P47">
            <v>0.20662608719364542</v>
          </cell>
          <cell r="Q47">
            <v>0.32801945781268493</v>
          </cell>
          <cell r="R47">
            <v>0.24453682372681443</v>
          </cell>
          <cell r="S47">
            <v>7.4058610623396262E-2</v>
          </cell>
        </row>
        <row r="48">
          <cell r="N48">
            <v>9.8473675596049984E-2</v>
          </cell>
          <cell r="O48">
            <v>0.15661811150530841</v>
          </cell>
          <cell r="P48">
            <v>0.19935893114631809</v>
          </cell>
          <cell r="Q48">
            <v>0.31809262670493732</v>
          </cell>
          <cell r="R48">
            <v>0.2364489842268982</v>
          </cell>
          <cell r="S48">
            <v>7.1242063910649647E-2</v>
          </cell>
        </row>
        <row r="49">
          <cell r="N49">
            <v>9.4756614867702649E-2</v>
          </cell>
          <cell r="O49">
            <v>0.15113571744516965</v>
          </cell>
          <cell r="P49">
            <v>0.19258558739727555</v>
          </cell>
          <cell r="Q49">
            <v>0.30874897688411279</v>
          </cell>
          <cell r="R49">
            <v>0.22887901299004779</v>
          </cell>
          <cell r="S49">
            <v>6.8631902086337057E-2</v>
          </cell>
        </row>
        <row r="50">
          <cell r="N50">
            <v>9.130996104618809E-2</v>
          </cell>
          <cell r="O50">
            <v>0.14602416300117885</v>
          </cell>
          <cell r="P50">
            <v>0.18625737710019713</v>
          </cell>
          <cell r="Q50">
            <v>0.29993858375005811</v>
          </cell>
          <cell r="R50">
            <v>0.22177871399171539</v>
          </cell>
          <cell r="S50">
            <v>6.6206242345239905E-2</v>
          </cell>
        </row>
        <row r="51">
          <cell r="N51">
            <v>8.8105242604705647E-2</v>
          </cell>
          <cell r="O51">
            <v>0.14124705265362539</v>
          </cell>
          <cell r="P51">
            <v>0.18033181605146884</v>
          </cell>
          <cell r="Q51">
            <v>0.29161706315137947</v>
          </cell>
          <cell r="R51">
            <v>0.2151056918206686</v>
          </cell>
          <cell r="S51">
            <v>6.3946189895703609E-2</v>
          </cell>
        </row>
        <row r="52">
          <cell r="N52">
            <v>8.5117849563782128E-2</v>
          </cell>
          <cell r="O52">
            <v>0.13677260265854693</v>
          </cell>
          <cell r="P52">
            <v>0.17477165969558581</v>
          </cell>
          <cell r="Q52">
            <v>0.28374482355985903</v>
          </cell>
          <cell r="R52">
            <v>0.20882250450614978</v>
          </cell>
          <cell r="S52">
            <v>6.1835344792350276E-2</v>
          </cell>
        </row>
        <row r="53">
          <cell r="N53">
            <v>8.2326400291917526E-2</v>
          </cell>
          <cell r="O53">
            <v>0.13257293301358222</v>
          </cell>
          <cell r="P53">
            <v>0.16954411951781423</v>
          </cell>
          <cell r="Q53">
            <v>0.27628643618689003</v>
          </cell>
          <cell r="R53">
            <v>0.20289596060555076</v>
          </cell>
          <cell r="S53">
            <v>5.9859403323421802E-2</v>
          </cell>
        </row>
        <row r="54">
          <cell r="N54">
            <v>7.9712228944927771E-2</v>
          </cell>
          <cell r="O54">
            <v>0.12862348598103118</v>
          </cell>
          <cell r="P54">
            <v>0.1646202159820882</v>
          </cell>
          <cell r="Q54">
            <v>0.26921010189655753</v>
          </cell>
          <cell r="R54">
            <v>0.19729653268396369</v>
          </cell>
          <cell r="S54">
            <v>5.8005833457304909E-2</v>
          </cell>
        </row>
        <row r="55">
          <cell r="N55">
            <v>7.7258967554147767E-2</v>
          </cell>
          <cell r="O55">
            <v>0.12490254553996583</v>
          </cell>
          <cell r="P55">
            <v>0.15997424103871738</v>
          </cell>
          <cell r="Q55">
            <v>0.26248719799444575</v>
          </cell>
          <cell r="R55">
            <v>0.19199786530456928</v>
          </cell>
          <cell r="S55">
            <v>5.6263608777491862E-2</v>
          </cell>
        </row>
        <row r="56">
          <cell r="N56">
            <v>7.4952202981603766E-2</v>
          </cell>
          <cell r="O56">
            <v>0.12139083790363978</v>
          </cell>
          <cell r="P56">
            <v>0.15558330914979729</v>
          </cell>
          <cell r="Q56">
            <v>0.25609189126938214</v>
          </cell>
          <cell r="R56">
            <v>0.18697636022703276</v>
          </cell>
          <cell r="S56">
            <v>5.4622988967513539E-2</v>
          </cell>
        </row>
        <row r="57">
          <cell r="N57">
            <v>7.2779193548387092E-2</v>
          </cell>
          <cell r="O57">
            <v>0.11807119758411075</v>
          </cell>
          <cell r="P57">
            <v>0.15142698027938434</v>
          </cell>
          <cell r="Q57">
            <v>0.25000080625744425</v>
          </cell>
          <cell r="R57">
            <v>0.18221082503910482</v>
          </cell>
          <cell r="S57">
            <v>5.3075337613433991E-2</v>
          </cell>
        </row>
        <row r="58">
          <cell r="N58">
            <v>7.0786387727172009E-2</v>
          </cell>
          <cell r="O58">
            <v>0.11483822730247362</v>
          </cell>
          <cell r="P58">
            <v>0.14728067756459604</v>
          </cell>
          <cell r="Q58">
            <v>0.24315540116667375</v>
          </cell>
          <cell r="R58">
            <v>0.1772216134921959</v>
          </cell>
          <cell r="S58">
            <v>4.1321629629836161E-2</v>
          </cell>
        </row>
        <row r="59">
          <cell r="N59">
            <v>6.8874324350939237E-2</v>
          </cell>
          <cell r="O59">
            <v>0.11173624716664775</v>
          </cell>
          <cell r="P59">
            <v>0.14330237045442951</v>
          </cell>
          <cell r="Q59">
            <v>0.2365873511187474</v>
          </cell>
          <cell r="R59">
            <v>0.17243454965809613</v>
          </cell>
          <cell r="S59">
            <v>3.3080196573469944E-2</v>
          </cell>
        </row>
        <row r="60">
          <cell r="N60">
            <v>6.7038699690402465E-2</v>
          </cell>
          <cell r="O60">
            <v>0.10875827514720779</v>
          </cell>
          <cell r="P60">
            <v>0.13948310445656367</v>
          </cell>
          <cell r="Q60">
            <v>0.23028187255068475</v>
          </cell>
          <cell r="R60">
            <v>0.16783885867072407</v>
          </cell>
          <cell r="S60">
            <v>2.7079253884405102E-2</v>
          </cell>
        </row>
        <row r="61">
          <cell r="N61">
            <v>6.5275492987833972E-2</v>
          </cell>
          <cell r="O61">
            <v>0.10589778828536611</v>
          </cell>
          <cell r="P61">
            <v>0.13581451383937299</v>
          </cell>
          <cell r="Q61">
            <v>0.22422515392343603</v>
          </cell>
          <cell r="R61">
            <v>0.1634244741148429</v>
          </cell>
          <cell r="S61">
            <v>2.257457648964584E-2</v>
          </cell>
        </row>
        <row r="62">
          <cell r="N62">
            <v>6.3580944420595434E-2</v>
          </cell>
          <cell r="O62">
            <v>0.10314868694275131</v>
          </cell>
          <cell r="P62">
            <v>0.13228877578206558</v>
          </cell>
          <cell r="Q62">
            <v>0.21840428002531603</v>
          </cell>
          <cell r="R62">
            <v>0.15918198285530338</v>
          </cell>
          <cell r="S62">
            <v>1.9107121540836242E-2</v>
          </cell>
        </row>
        <row r="63">
          <cell r="N63">
            <v>6.1951535041099765E-2</v>
          </cell>
          <cell r="O63">
            <v>0.10050526225759142</v>
          </cell>
          <cell r="P63">
            <v>0.12889856863705385</v>
          </cell>
          <cell r="Q63">
            <v>0.21280716306459385</v>
          </cell>
          <cell r="R63">
            <v>0.15510257481450157</v>
          </cell>
          <cell r="S63">
            <v>1.6381277041183331E-2</v>
          </cell>
        </row>
        <row r="64">
          <cell r="N64">
            <v>6.0383968493180909E-2</v>
          </cell>
          <cell r="O64">
            <v>9.796216648280083E-2</v>
          </cell>
          <cell r="P64">
            <v>0.12563703388838265</v>
          </cell>
          <cell r="Q64">
            <v>0.20742247986414919</v>
          </cell>
          <cell r="R64">
            <v>0.15117799719727232</v>
          </cell>
          <cell r="S64">
            <v>1.4199703879931806E-2</v>
          </cell>
        </row>
        <row r="65">
          <cell r="N65">
            <v>5.8875154327338565E-2</v>
          </cell>
          <cell r="O65">
            <v>9.5514385917955261E-2</v>
          </cell>
          <cell r="P65">
            <v>0.12249774143683381</v>
          </cell>
          <cell r="Q65">
            <v>0.20223961454835732</v>
          </cell>
          <cell r="R65">
            <v>0.14740051271874424</v>
          </cell>
          <cell r="S65">
            <v>1.2426587890762385E-2</v>
          </cell>
        </row>
        <row r="66">
          <cell r="N66">
            <v>5.7422192757038124E-2</v>
          </cell>
          <cell r="O66">
            <v>9.31572161791204E-2</v>
          </cell>
          <cell r="P66">
            <v>0.11947465788334115</v>
          </cell>
          <cell r="Q66">
            <v>0.19724860618008386</v>
          </cell>
          <cell r="R66">
            <v>0.14376286144003722</v>
          </cell>
          <cell r="S66">
            <v>1.0965978845750823E-2</v>
          </cell>
        </row>
        <row r="67">
          <cell r="N67">
            <v>5.6022360715557135E-2</v>
          </cell>
          <cell r="O67">
            <v>9.0886239578584355E-2</v>
          </cell>
          <cell r="P67">
            <v>0.11656211751836908</v>
          </cell>
          <cell r="Q67">
            <v>0.19244010086513308</v>
          </cell>
          <cell r="R67">
            <v>0.1402582258600229</v>
          </cell>
          <cell r="S67">
            <v>9.7485313983858377E-3</v>
          </cell>
        </row>
        <row r="68">
          <cell r="N68">
            <v>5.467309908809731E-2</v>
          </cell>
          <cell r="O68">
            <v>8.8697304411247666E-2</v>
          </cell>
          <cell r="P68">
            <v>0.11375479575659041</v>
          </cell>
          <cell r="Q68">
            <v>0.18780530789380229</v>
          </cell>
          <cell r="R68">
            <v>0.13688019894949377</v>
          </cell>
          <cell r="S68">
            <v>8.7231197684606628E-3</v>
          </cell>
        </row>
        <row r="69">
          <cell r="N69">
            <v>5.3372001007295257E-2</v>
          </cell>
          <cell r="O69">
            <v>8.6586505966187249E-2</v>
          </cell>
          <cell r="P69">
            <v>0.11104768478410941</v>
          </cell>
          <cell r="Q69">
            <v>0.18333595953527357</v>
          </cell>
          <cell r="R69">
            <v>0.13362275484766928</v>
          </cell>
          <cell r="S69">
            <v>7.8513813037624242E-3</v>
          </cell>
        </row>
        <row r="70">
          <cell r="N70">
            <v>5.2116801112103719E-2</v>
          </cell>
          <cell r="O70">
            <v>8.455016910111629E-2</v>
          </cell>
          <cell r="P70">
            <v>0.10843607121010786</v>
          </cell>
          <cell r="Q70">
            <v>0.17902427414123973</v>
          </cell>
          <cell r="R70">
            <v>0.13048022197060749</v>
          </cell>
          <cell r="S70">
            <v>7.1040755282704626E-3</v>
          </cell>
        </row>
        <row r="71">
          <cell r="N71">
            <v>5.0905365680477203E-2</v>
          </cell>
          <cell r="O71">
            <v>8.2584832234435163E-2</v>
          </cell>
          <cell r="P71">
            <v>0.10591551553655956</v>
          </cell>
          <cell r="Q71">
            <v>0.17486292225109948</v>
          </cell>
          <cell r="R71">
            <v>0.12744725830728365</v>
          </cell>
          <cell r="S71">
            <v>6.4585997636682786E-3</v>
          </cell>
        </row>
        <row r="72">
          <cell r="N72">
            <v>4.9735683555555549E-2</v>
          </cell>
          <cell r="O72">
            <v>8.0687232624590516E-2</v>
          </cell>
          <cell r="P72">
            <v>0.10348183327892503</v>
          </cell>
          <cell r="Q72">
            <v>0.17084499542286499</v>
          </cell>
          <cell r="R72">
            <v>0.1245188287022789</v>
          </cell>
          <cell r="S72">
            <v>5.8972597348259988E-3</v>
          </cell>
        </row>
      </sheetData>
      <sheetData sheetId="3"/>
      <sheetData sheetId="4">
        <row r="25">
          <cell r="N25">
            <v>0</v>
          </cell>
          <cell r="O25">
            <v>0</v>
          </cell>
          <cell r="P25">
            <v>0</v>
          </cell>
          <cell r="Q25">
            <v>0</v>
          </cell>
          <cell r="R25">
            <v>0</v>
          </cell>
          <cell r="S25">
            <v>0</v>
          </cell>
        </row>
        <row r="26">
          <cell r="N26">
            <v>0.10766666666666667</v>
          </cell>
          <cell r="O26">
            <v>0.14846820172426536</v>
          </cell>
          <cell r="P26">
            <v>0.16414729650081863</v>
          </cell>
          <cell r="Q26">
            <v>0.23680453730638037</v>
          </cell>
          <cell r="R26">
            <v>0.19457995518554907</v>
          </cell>
          <cell r="S26">
            <v>0.05</v>
          </cell>
        </row>
        <row r="27">
          <cell r="N27">
            <v>0.32300000000000001</v>
          </cell>
          <cell r="O27">
            <v>0.44540460517279606</v>
          </cell>
          <cell r="P27">
            <v>0.49244188950245588</v>
          </cell>
          <cell r="Q27">
            <v>0.7104136119191411</v>
          </cell>
          <cell r="R27">
            <v>0.58373986555664725</v>
          </cell>
          <cell r="S27">
            <v>0.15</v>
          </cell>
        </row>
        <row r="28">
          <cell r="N28">
            <v>0.39490000000000003</v>
          </cell>
          <cell r="O28">
            <v>0.51322445166703623</v>
          </cell>
          <cell r="P28">
            <v>0.55869382651904065</v>
          </cell>
          <cell r="Q28">
            <v>0.76939982485516978</v>
          </cell>
          <cell r="R28">
            <v>0.64694853670475905</v>
          </cell>
          <cell r="S28">
            <v>0.17833333333333332</v>
          </cell>
        </row>
        <row r="29">
          <cell r="N29">
            <v>0.46679999999999999</v>
          </cell>
          <cell r="O29">
            <v>0.58104429816127634</v>
          </cell>
          <cell r="P29">
            <v>0.62494576353562548</v>
          </cell>
          <cell r="Q29">
            <v>0.82838603779119835</v>
          </cell>
          <cell r="R29">
            <v>0.71015720785287073</v>
          </cell>
          <cell r="S29">
            <v>0.20666666666666667</v>
          </cell>
        </row>
        <row r="30">
          <cell r="N30">
            <v>0.53869999999999996</v>
          </cell>
          <cell r="O30">
            <v>0.64886414465551645</v>
          </cell>
          <cell r="P30">
            <v>0.6911977005522103</v>
          </cell>
          <cell r="Q30">
            <v>0.88737225072722703</v>
          </cell>
          <cell r="R30">
            <v>0.77336587900098253</v>
          </cell>
          <cell r="S30">
            <v>0.23499999999999999</v>
          </cell>
        </row>
        <row r="31">
          <cell r="N31">
            <v>0.61060000000000003</v>
          </cell>
          <cell r="O31">
            <v>0.71668399114975656</v>
          </cell>
          <cell r="P31">
            <v>0.75744963756879513</v>
          </cell>
          <cell r="Q31">
            <v>0.9463584636632556</v>
          </cell>
          <cell r="R31">
            <v>0.83657455014909421</v>
          </cell>
          <cell r="S31">
            <v>0.26333333333333331</v>
          </cell>
        </row>
        <row r="32">
          <cell r="N32">
            <v>0.6825</v>
          </cell>
          <cell r="O32">
            <v>0.78450383764399667</v>
          </cell>
          <cell r="P32">
            <v>0.82370157458537996</v>
          </cell>
          <cell r="Q32">
            <v>1.0053446765992842</v>
          </cell>
          <cell r="R32">
            <v>0.899783221297206</v>
          </cell>
          <cell r="S32">
            <v>0.29166666666666663</v>
          </cell>
        </row>
        <row r="33">
          <cell r="N33">
            <v>0.75439999999999996</v>
          </cell>
          <cell r="O33">
            <v>0.85232368413823689</v>
          </cell>
          <cell r="P33">
            <v>0.88995351160196468</v>
          </cell>
          <cell r="Q33">
            <v>1.064330889535313</v>
          </cell>
          <cell r="R33">
            <v>0.9629918924453178</v>
          </cell>
          <cell r="S33">
            <v>0.31999999999999995</v>
          </cell>
        </row>
        <row r="34">
          <cell r="N34">
            <v>0.82630000000000003</v>
          </cell>
          <cell r="O34">
            <v>0.920143530632477</v>
          </cell>
          <cell r="P34">
            <v>0.95620544861854961</v>
          </cell>
          <cell r="Q34">
            <v>1.1233171024713415</v>
          </cell>
          <cell r="R34">
            <v>1.0262005635934295</v>
          </cell>
          <cell r="S34">
            <v>0.34833333333333333</v>
          </cell>
        </row>
        <row r="35">
          <cell r="N35">
            <v>0.89820000000000011</v>
          </cell>
          <cell r="O35">
            <v>0.98796337712671711</v>
          </cell>
          <cell r="P35">
            <v>1.0224573856351342</v>
          </cell>
          <cell r="Q35">
            <v>1.1823033154073701</v>
          </cell>
          <cell r="R35">
            <v>1.0894092347415412</v>
          </cell>
          <cell r="S35">
            <v>0.37666666666666665</v>
          </cell>
        </row>
        <row r="36">
          <cell r="N36">
            <v>0.97009999999999996</v>
          </cell>
          <cell r="O36">
            <v>1.0557832236209572</v>
          </cell>
          <cell r="P36">
            <v>1.088709322651719</v>
          </cell>
          <cell r="Q36">
            <v>1.2412895283433989</v>
          </cell>
          <cell r="R36">
            <v>1.1526179058896531</v>
          </cell>
          <cell r="S36">
            <v>0.40500000000000003</v>
          </cell>
        </row>
        <row r="37">
          <cell r="N37">
            <v>1.042</v>
          </cell>
          <cell r="O37">
            <v>1.1236030701151973</v>
          </cell>
          <cell r="P37">
            <v>1.1549612596683039</v>
          </cell>
          <cell r="Q37">
            <v>1.3002757412794272</v>
          </cell>
          <cell r="R37">
            <v>1.2158265770377648</v>
          </cell>
          <cell r="S37">
            <v>0.43333333333333335</v>
          </cell>
        </row>
        <row r="38">
          <cell r="N38">
            <v>1.1139000000000001</v>
          </cell>
          <cell r="O38">
            <v>1.1914229166094374</v>
          </cell>
          <cell r="P38">
            <v>1.2212131966848887</v>
          </cell>
          <cell r="Q38">
            <v>1.359261954215456</v>
          </cell>
          <cell r="R38">
            <v>1.2790352481858767</v>
          </cell>
          <cell r="S38">
            <v>0.46166666666666667</v>
          </cell>
        </row>
        <row r="39">
          <cell r="N39">
            <v>1.1858</v>
          </cell>
          <cell r="O39">
            <v>1.2592427631036776</v>
          </cell>
          <cell r="P39">
            <v>1.2874651337014735</v>
          </cell>
          <cell r="Q39">
            <v>1.4182481671514848</v>
          </cell>
          <cell r="R39">
            <v>1.3422439193339883</v>
          </cell>
          <cell r="S39">
            <v>0.49</v>
          </cell>
        </row>
        <row r="40">
          <cell r="N40">
            <v>1.2577</v>
          </cell>
          <cell r="O40">
            <v>1.3270626095979177</v>
          </cell>
          <cell r="P40">
            <v>1.3537170707180584</v>
          </cell>
          <cell r="Q40">
            <v>1.4772343800875132</v>
          </cell>
          <cell r="R40">
            <v>1.4054525904821</v>
          </cell>
          <cell r="S40">
            <v>0.51833333333333331</v>
          </cell>
        </row>
        <row r="41">
          <cell r="N41">
            <v>1.3295999999999999</v>
          </cell>
          <cell r="O41">
            <v>1.3948824560921578</v>
          </cell>
          <cell r="P41">
            <v>1.4199690077346432</v>
          </cell>
          <cell r="Q41">
            <v>1.536220593023542</v>
          </cell>
          <cell r="R41">
            <v>1.4686612616302119</v>
          </cell>
          <cell r="S41">
            <v>0.54666666666666663</v>
          </cell>
        </row>
        <row r="42">
          <cell r="N42">
            <v>1.4015000000000002</v>
          </cell>
          <cell r="O42">
            <v>1.4627023025863979</v>
          </cell>
          <cell r="P42">
            <v>1.486220944751228</v>
          </cell>
          <cell r="Q42">
            <v>1.5952068059595705</v>
          </cell>
          <cell r="R42">
            <v>1.5318699327783236</v>
          </cell>
          <cell r="S42">
            <v>0.57499999999999996</v>
          </cell>
        </row>
        <row r="43">
          <cell r="N43">
            <v>1.4734</v>
          </cell>
          <cell r="O43">
            <v>1.530522149080638</v>
          </cell>
          <cell r="P43">
            <v>1.5524728817678126</v>
          </cell>
          <cell r="Q43">
            <v>1.6541930188955991</v>
          </cell>
          <cell r="R43">
            <v>1.5950786039264353</v>
          </cell>
          <cell r="S43">
            <v>0.60333333333333328</v>
          </cell>
        </row>
        <row r="44">
          <cell r="N44">
            <v>1.5452999999999999</v>
          </cell>
          <cell r="O44">
            <v>1.5983419955748783</v>
          </cell>
          <cell r="P44">
            <v>1.6187248187843974</v>
          </cell>
          <cell r="Q44">
            <v>1.7131792318316279</v>
          </cell>
          <cell r="R44">
            <v>1.6582872750745472</v>
          </cell>
          <cell r="S44">
            <v>0.6316666666666666</v>
          </cell>
        </row>
        <row r="45">
          <cell r="N45">
            <v>1.6172</v>
          </cell>
          <cell r="O45">
            <v>1.6661618420691182</v>
          </cell>
          <cell r="P45">
            <v>1.6849767558009823</v>
          </cell>
          <cell r="Q45">
            <v>1.7721654447676565</v>
          </cell>
          <cell r="R45">
            <v>1.7214959462226589</v>
          </cell>
          <cell r="S45">
            <v>0.66</v>
          </cell>
        </row>
        <row r="46">
          <cell r="N46">
            <v>1.6891</v>
          </cell>
          <cell r="O46">
            <v>1.7339816885633585</v>
          </cell>
          <cell r="P46">
            <v>1.7512286928175671</v>
          </cell>
          <cell r="Q46">
            <v>1.831151657703685</v>
          </cell>
          <cell r="R46">
            <v>1.7847046173707706</v>
          </cell>
          <cell r="S46">
            <v>0.68833333333333335</v>
          </cell>
        </row>
        <row r="47">
          <cell r="N47">
            <v>1.7609999999999999</v>
          </cell>
          <cell r="O47">
            <v>1.8018015350575984</v>
          </cell>
          <cell r="P47">
            <v>1.8174806298341519</v>
          </cell>
          <cell r="Q47">
            <v>1.8901378706397136</v>
          </cell>
          <cell r="R47">
            <v>1.8479132885188823</v>
          </cell>
          <cell r="S47">
            <v>0.71666666666666667</v>
          </cell>
        </row>
        <row r="48">
          <cell r="N48">
            <v>1.8328999999999998</v>
          </cell>
          <cell r="O48">
            <v>1.8696213815518388</v>
          </cell>
          <cell r="P48">
            <v>1.8837325668507368</v>
          </cell>
          <cell r="Q48">
            <v>1.9491240835757424</v>
          </cell>
          <cell r="R48">
            <v>1.9111219596669942</v>
          </cell>
          <cell r="S48">
            <v>0.745</v>
          </cell>
        </row>
        <row r="49">
          <cell r="N49">
            <v>1.9048</v>
          </cell>
          <cell r="O49">
            <v>1.9374412280460787</v>
          </cell>
          <cell r="P49">
            <v>1.9499845038673216</v>
          </cell>
          <cell r="Q49">
            <v>2.008110296511771</v>
          </cell>
          <cell r="R49">
            <v>1.9743306308151058</v>
          </cell>
          <cell r="S49">
            <v>0.77333333333333332</v>
          </cell>
        </row>
        <row r="50">
          <cell r="N50">
            <v>1.9767000000000001</v>
          </cell>
          <cell r="O50">
            <v>2.0052610745403192</v>
          </cell>
          <cell r="P50">
            <v>2.0162364408839064</v>
          </cell>
          <cell r="Q50">
            <v>2.0670965094477998</v>
          </cell>
          <cell r="R50">
            <v>2.0375393019632178</v>
          </cell>
          <cell r="S50">
            <v>0.80166666666666675</v>
          </cell>
        </row>
        <row r="51">
          <cell r="N51">
            <v>2.0486</v>
          </cell>
          <cell r="O51">
            <v>2.0730809210345593</v>
          </cell>
          <cell r="P51">
            <v>2.082488377900491</v>
          </cell>
          <cell r="Q51">
            <v>2.1260827223838286</v>
          </cell>
          <cell r="R51">
            <v>2.1007479731113294</v>
          </cell>
          <cell r="S51">
            <v>0.83</v>
          </cell>
        </row>
        <row r="52">
          <cell r="N52">
            <v>2.1204999999999998</v>
          </cell>
          <cell r="O52">
            <v>2.1409007675287994</v>
          </cell>
          <cell r="P52">
            <v>2.1487403149170761</v>
          </cell>
          <cell r="Q52">
            <v>2.1850689353198565</v>
          </cell>
          <cell r="R52">
            <v>2.1639566442594411</v>
          </cell>
          <cell r="S52">
            <v>0.85833333333333339</v>
          </cell>
        </row>
        <row r="53">
          <cell r="N53">
            <v>2.1924000000000001</v>
          </cell>
          <cell r="O53">
            <v>2.2087206140230395</v>
          </cell>
          <cell r="P53">
            <v>2.2149922519336607</v>
          </cell>
          <cell r="Q53">
            <v>2.2440551482558853</v>
          </cell>
          <cell r="R53">
            <v>2.2271653154075528</v>
          </cell>
          <cell r="S53">
            <v>0.8866666666666666</v>
          </cell>
        </row>
        <row r="54">
          <cell r="N54">
            <v>2.2643000000000004</v>
          </cell>
          <cell r="O54">
            <v>2.2765404605172797</v>
          </cell>
          <cell r="P54">
            <v>2.2812441889502457</v>
          </cell>
          <cell r="Q54">
            <v>2.303041361191914</v>
          </cell>
          <cell r="R54">
            <v>2.2903739865556645</v>
          </cell>
          <cell r="S54">
            <v>0.91500000000000004</v>
          </cell>
        </row>
        <row r="55">
          <cell r="N55">
            <v>2.3361999999999998</v>
          </cell>
          <cell r="O55">
            <v>2.3443603070115198</v>
          </cell>
          <cell r="P55">
            <v>2.3474961259668308</v>
          </cell>
          <cell r="Q55">
            <v>2.3620275741279428</v>
          </cell>
          <cell r="R55">
            <v>2.3535826577037766</v>
          </cell>
          <cell r="S55">
            <v>0.94333333333333336</v>
          </cell>
        </row>
        <row r="56">
          <cell r="N56">
            <v>2.4080999999999997</v>
          </cell>
          <cell r="O56">
            <v>2.4121801535057599</v>
          </cell>
          <cell r="P56">
            <v>2.4137480629834154</v>
          </cell>
          <cell r="Q56">
            <v>2.4210137870639716</v>
          </cell>
          <cell r="R56">
            <v>2.4167913288518883</v>
          </cell>
          <cell r="S56">
            <v>0.97166666666666668</v>
          </cell>
        </row>
        <row r="57">
          <cell r="N57">
            <v>2.48</v>
          </cell>
          <cell r="O57">
            <v>2.48</v>
          </cell>
          <cell r="P57">
            <v>2.48</v>
          </cell>
          <cell r="Q57">
            <v>2.48</v>
          </cell>
          <cell r="R57">
            <v>2.48</v>
          </cell>
          <cell r="S57">
            <v>1</v>
          </cell>
        </row>
        <row r="58">
          <cell r="N58">
            <v>2.5146666666666668</v>
          </cell>
          <cell r="O58">
            <v>2.5146666666666668</v>
          </cell>
          <cell r="P58">
            <v>2.5146666666666668</v>
          </cell>
          <cell r="Q58">
            <v>2.5146666666666668</v>
          </cell>
          <cell r="R58">
            <v>2.5146666666666668</v>
          </cell>
          <cell r="S58">
            <v>1.1333333333333333</v>
          </cell>
        </row>
        <row r="59">
          <cell r="N59">
            <v>2.5493333333333332</v>
          </cell>
          <cell r="O59">
            <v>2.5493333333333332</v>
          </cell>
          <cell r="P59">
            <v>2.5493333333333332</v>
          </cell>
          <cell r="Q59">
            <v>2.5493333333333332</v>
          </cell>
          <cell r="R59">
            <v>2.5493333333333332</v>
          </cell>
          <cell r="S59">
            <v>1.2666666666666666</v>
          </cell>
        </row>
        <row r="60">
          <cell r="N60">
            <v>2.5840000000000001</v>
          </cell>
          <cell r="O60">
            <v>2.5840000000000001</v>
          </cell>
          <cell r="P60">
            <v>2.5840000000000001</v>
          </cell>
          <cell r="Q60">
            <v>2.5840000000000001</v>
          </cell>
          <cell r="R60">
            <v>2.5840000000000001</v>
          </cell>
          <cell r="S60">
            <v>1.4</v>
          </cell>
        </row>
        <row r="61">
          <cell r="N61">
            <v>2.6186666666666665</v>
          </cell>
          <cell r="O61">
            <v>2.6186666666666665</v>
          </cell>
          <cell r="P61">
            <v>2.6186666666666665</v>
          </cell>
          <cell r="Q61">
            <v>2.6186666666666665</v>
          </cell>
          <cell r="R61">
            <v>2.6186666666666665</v>
          </cell>
          <cell r="S61">
            <v>1.5333333333333332</v>
          </cell>
        </row>
        <row r="62">
          <cell r="N62">
            <v>2.6533333333333333</v>
          </cell>
          <cell r="O62">
            <v>2.6533333333333333</v>
          </cell>
          <cell r="P62">
            <v>2.6533333333333333</v>
          </cell>
          <cell r="Q62">
            <v>2.6533333333333333</v>
          </cell>
          <cell r="R62">
            <v>2.6533333333333333</v>
          </cell>
          <cell r="S62">
            <v>1.6666666666666665</v>
          </cell>
        </row>
        <row r="63">
          <cell r="N63">
            <v>2.6880000000000002</v>
          </cell>
          <cell r="O63">
            <v>2.6880000000000002</v>
          </cell>
          <cell r="P63">
            <v>2.6880000000000002</v>
          </cell>
          <cell r="Q63">
            <v>2.6880000000000002</v>
          </cell>
          <cell r="R63">
            <v>2.6880000000000002</v>
          </cell>
          <cell r="S63">
            <v>1.8</v>
          </cell>
        </row>
        <row r="64">
          <cell r="N64">
            <v>2.7226666666666666</v>
          </cell>
          <cell r="O64">
            <v>2.7226666666666666</v>
          </cell>
          <cell r="P64">
            <v>2.7226666666666666</v>
          </cell>
          <cell r="Q64">
            <v>2.7226666666666666</v>
          </cell>
          <cell r="R64">
            <v>2.7226666666666666</v>
          </cell>
          <cell r="S64">
            <v>1.9333333333333333</v>
          </cell>
        </row>
        <row r="65">
          <cell r="N65">
            <v>2.7573333333333334</v>
          </cell>
          <cell r="O65">
            <v>2.7573333333333334</v>
          </cell>
          <cell r="P65">
            <v>2.7573333333333334</v>
          </cell>
          <cell r="Q65">
            <v>2.7573333333333334</v>
          </cell>
          <cell r="R65">
            <v>2.7573333333333334</v>
          </cell>
          <cell r="S65">
            <v>2.0666666666666664</v>
          </cell>
        </row>
        <row r="66">
          <cell r="N66">
            <v>2.7919999999999998</v>
          </cell>
          <cell r="O66">
            <v>2.7919999999999998</v>
          </cell>
          <cell r="P66">
            <v>2.7919999999999998</v>
          </cell>
          <cell r="Q66">
            <v>2.7919999999999998</v>
          </cell>
          <cell r="R66">
            <v>2.7919999999999998</v>
          </cell>
          <cell r="S66">
            <v>2.2000000000000002</v>
          </cell>
        </row>
        <row r="67">
          <cell r="N67">
            <v>2.8266666666666667</v>
          </cell>
          <cell r="O67">
            <v>2.8266666666666667</v>
          </cell>
          <cell r="P67">
            <v>2.8266666666666667</v>
          </cell>
          <cell r="Q67">
            <v>2.8266666666666667</v>
          </cell>
          <cell r="R67">
            <v>2.8266666666666667</v>
          </cell>
          <cell r="S67">
            <v>2.333333333333333</v>
          </cell>
        </row>
        <row r="68">
          <cell r="N68">
            <v>2.8613333333333335</v>
          </cell>
          <cell r="O68">
            <v>2.8613333333333335</v>
          </cell>
          <cell r="P68">
            <v>2.8613333333333335</v>
          </cell>
          <cell r="Q68">
            <v>2.8613333333333335</v>
          </cell>
          <cell r="R68">
            <v>2.8613333333333335</v>
          </cell>
          <cell r="S68">
            <v>2.4666666666666668</v>
          </cell>
        </row>
        <row r="69">
          <cell r="N69">
            <v>2.8959999999999999</v>
          </cell>
          <cell r="O69">
            <v>2.8959999999999999</v>
          </cell>
          <cell r="P69">
            <v>2.8959999999999999</v>
          </cell>
          <cell r="Q69">
            <v>2.8959999999999999</v>
          </cell>
          <cell r="R69">
            <v>2.8959999999999999</v>
          </cell>
          <cell r="S69">
            <v>2.6</v>
          </cell>
        </row>
        <row r="70">
          <cell r="N70">
            <v>2.9306666666666668</v>
          </cell>
          <cell r="O70">
            <v>2.9306666666666668</v>
          </cell>
          <cell r="P70">
            <v>2.9306666666666668</v>
          </cell>
          <cell r="Q70">
            <v>2.9306666666666668</v>
          </cell>
          <cell r="R70">
            <v>2.9306666666666668</v>
          </cell>
          <cell r="S70">
            <v>2.7333333333333334</v>
          </cell>
        </row>
        <row r="71">
          <cell r="N71">
            <v>2.9653333333333332</v>
          </cell>
          <cell r="O71">
            <v>2.9653333333333332</v>
          </cell>
          <cell r="P71">
            <v>2.9653333333333332</v>
          </cell>
          <cell r="Q71">
            <v>2.9653333333333332</v>
          </cell>
          <cell r="R71">
            <v>2.9653333333333332</v>
          </cell>
          <cell r="S71">
            <v>2.8666666666666667</v>
          </cell>
        </row>
        <row r="72">
          <cell r="N72">
            <v>3</v>
          </cell>
          <cell r="O72">
            <v>3</v>
          </cell>
          <cell r="P72">
            <v>3</v>
          </cell>
          <cell r="Q72">
            <v>3</v>
          </cell>
          <cell r="R72">
            <v>3</v>
          </cell>
          <cell r="S72">
            <v>3</v>
          </cell>
        </row>
      </sheetData>
      <sheetData sheetId="5">
        <row r="5">
          <cell r="A5">
            <v>0</v>
          </cell>
          <cell r="B5">
            <v>0.1545</v>
          </cell>
          <cell r="C5">
            <v>0.1545</v>
          </cell>
          <cell r="E5">
            <v>0</v>
          </cell>
          <cell r="F5">
            <v>0.30023839999999996</v>
          </cell>
          <cell r="G5">
            <v>0.30023839999999996</v>
          </cell>
          <cell r="I5">
            <v>0</v>
          </cell>
          <cell r="J5">
            <v>0.22</v>
          </cell>
          <cell r="K5">
            <v>0.22000000000000006</v>
          </cell>
        </row>
        <row r="6">
          <cell r="A6">
            <v>0.13862751483462707</v>
          </cell>
          <cell r="B6">
            <v>0.39304800000000001</v>
          </cell>
          <cell r="C6">
            <v>0.26203199999999999</v>
          </cell>
          <cell r="E6">
            <v>0.16414729650081863</v>
          </cell>
          <cell r="F6">
            <v>0.76260553599999992</v>
          </cell>
          <cell r="G6">
            <v>0.13035992068376068</v>
          </cell>
          <cell r="I6">
            <v>0.05</v>
          </cell>
          <cell r="J6">
            <v>0.35383558408955995</v>
          </cell>
          <cell r="K6">
            <v>0.23589038939303997</v>
          </cell>
        </row>
        <row r="7">
          <cell r="A7">
            <v>0.41588254450388124</v>
          </cell>
          <cell r="B7">
            <v>0.39304800000000001</v>
          </cell>
          <cell r="C7">
            <v>0.26203199999999999</v>
          </cell>
          <cell r="E7">
            <v>0.49244188950245588</v>
          </cell>
          <cell r="F7">
            <v>0.76260553599999992</v>
          </cell>
          <cell r="G7">
            <v>0.13035992068376068</v>
          </cell>
          <cell r="I7">
            <v>0.15</v>
          </cell>
          <cell r="J7">
            <v>0.35383558408955995</v>
          </cell>
          <cell r="K7">
            <v>0.23589038939304</v>
          </cell>
        </row>
        <row r="8">
          <cell r="A8">
            <v>0.46908645968708518</v>
          </cell>
          <cell r="B8">
            <v>0.34846838781320277</v>
          </cell>
          <cell r="C8">
            <v>0.23231225854213519</v>
          </cell>
          <cell r="E8">
            <v>0.55869382651904065</v>
          </cell>
          <cell r="F8">
            <v>0.67217301009513564</v>
          </cell>
          <cell r="G8">
            <v>0.11490136924703173</v>
          </cell>
          <cell r="I8">
            <v>0.17833333333333332</v>
          </cell>
          <cell r="J8">
            <v>0.29761871558934949</v>
          </cell>
          <cell r="K8">
            <v>0.19841247705956636</v>
          </cell>
        </row>
        <row r="9">
          <cell r="A9">
            <v>0.52229037487028918</v>
          </cell>
          <cell r="B9">
            <v>0.31297111763309299</v>
          </cell>
          <cell r="C9">
            <v>0.20864741175539533</v>
          </cell>
          <cell r="E9">
            <v>0.62494576353562548</v>
          </cell>
          <cell r="F9">
            <v>0.60091440410486952</v>
          </cell>
          <cell r="G9">
            <v>0.10272041095809735</v>
          </cell>
          <cell r="I9">
            <v>0.20666666666666667</v>
          </cell>
          <cell r="J9">
            <v>0.25681614974242256</v>
          </cell>
          <cell r="K9">
            <v>0.17121076649494837</v>
          </cell>
        </row>
        <row r="10">
          <cell r="A10">
            <v>0.57549429005349317</v>
          </cell>
          <cell r="B10">
            <v>0.2840372270886779</v>
          </cell>
          <cell r="C10">
            <v>0.18935815139245193</v>
          </cell>
          <cell r="E10">
            <v>0.6911977005522103</v>
          </cell>
          <cell r="F10">
            <v>0.54331620431151362</v>
          </cell>
          <cell r="G10">
            <v>9.2874564839574972E-2</v>
          </cell>
          <cell r="I10">
            <v>0.23499999999999999</v>
          </cell>
          <cell r="J10">
            <v>0.22585250048269784</v>
          </cell>
          <cell r="K10">
            <v>0.15056833365513192</v>
          </cell>
        </row>
        <row r="11">
          <cell r="A11">
            <v>0.62869820523669706</v>
          </cell>
          <cell r="B11">
            <v>0.26000042785332939</v>
          </cell>
          <cell r="C11">
            <v>0.17333361856888624</v>
          </cell>
          <cell r="E11">
            <v>0.75744963756879513</v>
          </cell>
          <cell r="F11">
            <v>0.49579390162262088</v>
          </cell>
          <cell r="G11">
            <v>8.4751094294465118E-2</v>
          </cell>
          <cell r="I11">
            <v>0.26333333333333331</v>
          </cell>
          <cell r="J11">
            <v>0.20155191498772404</v>
          </cell>
          <cell r="K11">
            <v>0.13436794332514937</v>
          </cell>
        </row>
        <row r="12">
          <cell r="A12">
            <v>0.68190212041990106</v>
          </cell>
          <cell r="B12">
            <v>0.23971446554749698</v>
          </cell>
          <cell r="C12">
            <v>0.15980964369833131</v>
          </cell>
          <cell r="E12">
            <v>0.82370157458537996</v>
          </cell>
          <cell r="F12">
            <v>0.45591622339911769</v>
          </cell>
          <cell r="G12">
            <v>7.7934397162242333E-2</v>
          </cell>
          <cell r="I12">
            <v>0.29166666666666663</v>
          </cell>
          <cell r="J12">
            <v>0.18197258610320227</v>
          </cell>
          <cell r="K12">
            <v>0.12131505740213486</v>
          </cell>
        </row>
        <row r="13">
          <cell r="A13">
            <v>0.73510603560310495</v>
          </cell>
          <cell r="B13">
            <v>0.22236493027574195</v>
          </cell>
          <cell r="C13">
            <v>0.14824328685049462</v>
          </cell>
          <cell r="E13">
            <v>0.88995351160196468</v>
          </cell>
          <cell r="F13">
            <v>0.42197587424188332</v>
          </cell>
          <cell r="G13">
            <v>7.213262807553561E-2</v>
          </cell>
          <cell r="I13">
            <v>0.31999999999999995</v>
          </cell>
          <cell r="J13">
            <v>0.16586043004198125</v>
          </cell>
          <cell r="K13">
            <v>0.11057362002798751</v>
          </cell>
        </row>
        <row r="14">
          <cell r="A14">
            <v>0.78830995078630894</v>
          </cell>
          <cell r="B14">
            <v>0.20735727386050962</v>
          </cell>
          <cell r="C14">
            <v>0.13823818257367307</v>
          </cell>
          <cell r="E14">
            <v>0.95620544861854961</v>
          </cell>
          <cell r="F14">
            <v>0.39273872747265992</v>
          </cell>
          <cell r="G14">
            <v>6.71348252090017E-2</v>
          </cell>
          <cell r="I14">
            <v>0.34833333333333333</v>
          </cell>
          <cell r="J14">
            <v>0.15236939027780094</v>
          </cell>
          <cell r="K14">
            <v>0.10157959351853396</v>
          </cell>
        </row>
        <row r="15">
          <cell r="A15">
            <v>0.84151386596951294</v>
          </cell>
          <cell r="B15">
            <v>0.19424730710032476</v>
          </cell>
          <cell r="C15">
            <v>0.12949820473354984</v>
          </cell>
          <cell r="E15">
            <v>1.0224573856351342</v>
          </cell>
          <cell r="F15">
            <v>0.36729052610793583</v>
          </cell>
          <cell r="G15">
            <v>6.2784705317595862E-2</v>
          </cell>
          <cell r="I15">
            <v>0.37666666666666665</v>
          </cell>
          <cell r="J15">
            <v>0.14090797596486901</v>
          </cell>
          <cell r="K15">
            <v>9.3938650643246011E-2</v>
          </cell>
        </row>
        <row r="16">
          <cell r="A16">
            <v>0.89471778115271694</v>
          </cell>
          <cell r="B16">
            <v>0.18269649468859797</v>
          </cell>
          <cell r="C16">
            <v>0.12179766312573198</v>
          </cell>
          <cell r="E16">
            <v>1.088709322651719</v>
          </cell>
          <cell r="F16">
            <v>0.34493955666530923</v>
          </cell>
          <cell r="G16">
            <v>5.8964026780394745E-2</v>
          </cell>
          <cell r="I16">
            <v>0.40500000000000003</v>
          </cell>
          <cell r="J16">
            <v>0.13105021632946665</v>
          </cell>
          <cell r="K16">
            <v>8.7366810886311097E-2</v>
          </cell>
        </row>
        <row r="17">
          <cell r="A17">
            <v>0.94792169633592094</v>
          </cell>
          <cell r="B17">
            <v>0.17244230508068731</v>
          </cell>
          <cell r="C17">
            <v>0.1149615367204582</v>
          </cell>
          <cell r="E17">
            <v>1.1549612596683039</v>
          </cell>
          <cell r="F17">
            <v>0.32515282045107297</v>
          </cell>
          <cell r="G17">
            <v>5.5581678709585122E-2</v>
          </cell>
          <cell r="I17">
            <v>0.43333333333333335</v>
          </cell>
          <cell r="J17">
            <v>0.12248154833869382</v>
          </cell>
          <cell r="K17">
            <v>8.1654365559129222E-2</v>
          </cell>
        </row>
        <row r="18">
          <cell r="A18">
            <v>1.0011256115191247</v>
          </cell>
          <cell r="B18">
            <v>0.16327801473795267</v>
          </cell>
          <cell r="C18">
            <v>0.10885200982530177</v>
          </cell>
          <cell r="E18">
            <v>1.2212131966848887</v>
          </cell>
          <cell r="F18">
            <v>0.30751298144526512</v>
          </cell>
          <cell r="G18">
            <v>5.2566321614575237E-2</v>
          </cell>
          <cell r="I18">
            <v>0.46166666666666667</v>
          </cell>
          <cell r="J18">
            <v>0.11496463020960432</v>
          </cell>
          <cell r="K18">
            <v>7.6643086806402874E-2</v>
          </cell>
        </row>
        <row r="19">
          <cell r="A19">
            <v>1.0543295267023287</v>
          </cell>
          <cell r="B19">
            <v>0.15503862712014521</v>
          </cell>
          <cell r="C19">
            <v>0.10335908474676346</v>
          </cell>
          <cell r="E19">
            <v>1.2874651337014735</v>
          </cell>
          <cell r="F19">
            <v>0.29168860675333041</v>
          </cell>
          <cell r="G19">
            <v>4.9861300299714605E-2</v>
          </cell>
          <cell r="I19">
            <v>0.49</v>
          </cell>
          <cell r="J19">
            <v>0.1083170155376204</v>
          </cell>
          <cell r="K19">
            <v>7.2211343691746935E-2</v>
          </cell>
        </row>
        <row r="20">
          <cell r="A20">
            <v>1.1075334418855327</v>
          </cell>
          <cell r="B20">
            <v>0.14759085023552349</v>
          </cell>
          <cell r="C20">
            <v>9.8393900157015657E-2</v>
          </cell>
          <cell r="E20">
            <v>1.3537170707180584</v>
          </cell>
          <cell r="F20">
            <v>0.27741314578656695</v>
          </cell>
          <cell r="G20">
            <v>4.7421050561806316E-2</v>
          </cell>
          <cell r="I20">
            <v>0.51833333333333331</v>
          </cell>
          <cell r="J20">
            <v>0.10239614973652861</v>
          </cell>
          <cell r="K20">
            <v>6.8264099824352414E-2</v>
          </cell>
        </row>
        <row r="21">
          <cell r="A21">
            <v>1.1607373570687367</v>
          </cell>
          <cell r="B21">
            <v>0.14082583054357714</v>
          </cell>
          <cell r="C21">
            <v>9.3883887029051427E-2</v>
          </cell>
          <cell r="E21">
            <v>1.4199690077346432</v>
          </cell>
          <cell r="F21">
            <v>0.26446979409219046</v>
          </cell>
          <cell r="G21">
            <v>4.5208511810630847E-2</v>
          </cell>
          <cell r="I21">
            <v>0.54666666666666663</v>
          </cell>
          <cell r="J21">
            <v>9.7089032219696336E-2</v>
          </cell>
          <cell r="K21">
            <v>6.4726021479797557E-2</v>
          </cell>
        </row>
        <row r="22">
          <cell r="A22">
            <v>1.2139412722519407</v>
          </cell>
          <cell r="B22">
            <v>0.13465379758357596</v>
          </cell>
          <cell r="C22">
            <v>8.9769198389050647E-2</v>
          </cell>
          <cell r="E22">
            <v>1.486220944751228</v>
          </cell>
          <cell r="F22">
            <v>0.25268040557437632</v>
          </cell>
          <cell r="G22">
            <v>4.4000000000000004E-2</v>
          </cell>
          <cell r="I22">
            <v>0.57499999999999996</v>
          </cell>
          <cell r="J22">
            <v>9.2304934979885206E-2</v>
          </cell>
          <cell r="K22">
            <v>6.1536623319923475E-2</v>
          </cell>
        </row>
        <row r="23">
          <cell r="A23">
            <v>1.2671451874351447</v>
          </cell>
          <cell r="B23">
            <v>0.12900005774636447</v>
          </cell>
          <cell r="C23">
            <v>8.6000038497576314E-2</v>
          </cell>
          <cell r="E23">
            <v>1.5524728817678126</v>
          </cell>
          <cell r="F23">
            <v>0.24189724374782257</v>
          </cell>
          <cell r="G23">
            <v>4.4000000000000004E-2</v>
          </cell>
          <cell r="I23">
            <v>0.60333333333333328</v>
          </cell>
          <cell r="J23">
            <v>8.7970172839945848E-2</v>
          </cell>
          <cell r="K23">
            <v>5.8646781893297237E-2</v>
          </cell>
        </row>
        <row r="24">
          <cell r="A24">
            <v>1.3203491026183487</v>
          </cell>
          <cell r="B24">
            <v>0.12380195664010739</v>
          </cell>
          <cell r="C24">
            <v>8.2534637760071597E-2</v>
          </cell>
          <cell r="E24">
            <v>1.6187248187843974</v>
          </cell>
          <cell r="F24">
            <v>0.23199675864294769</v>
          </cell>
          <cell r="G24">
            <v>4.4000000000000004E-2</v>
          </cell>
          <cell r="I24">
            <v>0.6316666666666666</v>
          </cell>
          <cell r="J24">
            <v>8.4024281182217414E-2</v>
          </cell>
          <cell r="K24">
            <v>5.6016187454811607E-2</v>
          </cell>
        </row>
        <row r="25">
          <cell r="A25">
            <v>1.3735530178015525</v>
          </cell>
          <cell r="B25">
            <v>0.11900654742384183</v>
          </cell>
          <cell r="C25">
            <v>7.9337698282561209E-2</v>
          </cell>
          <cell r="E25">
            <v>1.6849767558009823</v>
          </cell>
          <cell r="F25">
            <v>0.22287483183372123</v>
          </cell>
          <cell r="G25">
            <v>4.4000000000000004E-2</v>
          </cell>
          <cell r="I25">
            <v>0.66</v>
          </cell>
          <cell r="J25">
            <v>8.0417178202172715E-2</v>
          </cell>
          <cell r="K25">
            <v>5.3611452134781808E-2</v>
          </cell>
        </row>
        <row r="26">
          <cell r="A26">
            <v>1.4267569329847565</v>
          </cell>
          <cell r="B26">
            <v>0.11456878082954298</v>
          </cell>
          <cell r="C26">
            <v>7.6379187219695319E-2</v>
          </cell>
          <cell r="E26">
            <v>1.7512286928175671</v>
          </cell>
          <cell r="F26">
            <v>0.2144431007972267</v>
          </cell>
          <cell r="G26">
            <v>4.4000000000000004E-2</v>
          </cell>
          <cell r="I26">
            <v>0.68833333333333335</v>
          </cell>
          <cell r="J26">
            <v>7.7107028009831463E-2</v>
          </cell>
          <cell r="K26">
            <v>5.1404685339887644E-2</v>
          </cell>
        </row>
        <row r="27">
          <cell r="A27">
            <v>1.4799608481679605</v>
          </cell>
          <cell r="B27">
            <v>0.11045008559146037</v>
          </cell>
          <cell r="C27">
            <v>7.3633390394306913E-2</v>
          </cell>
          <cell r="E27">
            <v>1.8174806298341519</v>
          </cell>
          <cell r="F27">
            <v>0.20662608719364542</v>
          </cell>
          <cell r="G27">
            <v>4.4000000000000004E-2</v>
          </cell>
          <cell r="I27">
            <v>0.71666666666666667</v>
          </cell>
          <cell r="J27">
            <v>7.4058610623396262E-2</v>
          </cell>
          <cell r="K27">
            <v>4.9372407082264182E-2</v>
          </cell>
        </row>
        <row r="28">
          <cell r="A28">
            <v>1.5331647633511643</v>
          </cell>
          <cell r="B28">
            <v>0.10661724444727624</v>
          </cell>
          <cell r="C28">
            <v>7.1078162964850825E-2</v>
          </cell>
          <cell r="E28">
            <v>1.8837325668507368</v>
          </cell>
          <cell r="F28">
            <v>0.19935893114631809</v>
          </cell>
          <cell r="G28">
            <v>4.4000000000000004E-2</v>
          </cell>
          <cell r="I28">
            <v>0.745</v>
          </cell>
          <cell r="J28">
            <v>7.1242063910649647E-2</v>
          </cell>
          <cell r="K28">
            <v>4.7494709273766436E-2</v>
          </cell>
        </row>
        <row r="29">
          <cell r="A29">
            <v>1.5863686785343682</v>
          </cell>
          <cell r="B29">
            <v>0.10304149632050376</v>
          </cell>
          <cell r="C29">
            <v>6.869433088033583E-2</v>
          </cell>
          <cell r="E29">
            <v>1.9499845038673216</v>
          </cell>
          <cell r="F29">
            <v>0.19258558739727555</v>
          </cell>
          <cell r="G29">
            <v>4.4000000000000004E-2</v>
          </cell>
          <cell r="I29">
            <v>0.77333333333333332</v>
          </cell>
          <cell r="J29">
            <v>6.8631902086337057E-2</v>
          </cell>
          <cell r="K29">
            <v>4.5754601390891374E-2</v>
          </cell>
        </row>
        <row r="30">
          <cell r="A30">
            <v>1.6395725937175722</v>
          </cell>
          <cell r="B30">
            <v>9.9697813307264238E-2</v>
          </cell>
          <cell r="C30">
            <v>6.6465208871509487E-2</v>
          </cell>
          <cell r="E30">
            <v>2.0162364408839064</v>
          </cell>
          <cell r="F30">
            <v>0.18625737710019713</v>
          </cell>
          <cell r="G30">
            <v>4.4000000000000004E-2</v>
          </cell>
          <cell r="I30">
            <v>0.80166666666666675</v>
          </cell>
          <cell r="J30">
            <v>6.6206242345239905E-2</v>
          </cell>
          <cell r="K30">
            <v>4.4137494896826605E-2</v>
          </cell>
        </row>
        <row r="31">
          <cell r="A31">
            <v>1.6927765089007762</v>
          </cell>
          <cell r="B31">
            <v>9.6564314008768526E-2</v>
          </cell>
          <cell r="C31">
            <v>6.4376209339179022E-2</v>
          </cell>
          <cell r="E31">
            <v>2.082488377900491</v>
          </cell>
          <cell r="F31">
            <v>0.18033181605146884</v>
          </cell>
          <cell r="G31">
            <v>4.4000000000000004E-2</v>
          </cell>
          <cell r="I31">
            <v>0.83</v>
          </cell>
          <cell r="J31">
            <v>6.3946189895703609E-2</v>
          </cell>
          <cell r="K31">
            <v>4.2630793263802411E-2</v>
          </cell>
        </row>
        <row r="32">
          <cell r="A32">
            <v>1.7459804240839802</v>
          </cell>
          <cell r="B32">
            <v>9.3621784126199994E-2</v>
          </cell>
          <cell r="C32">
            <v>6.2414522750799992E-2</v>
          </cell>
          <cell r="E32">
            <v>2.1487403149170761</v>
          </cell>
          <cell r="F32">
            <v>0.17477165969558581</v>
          </cell>
          <cell r="G32">
            <v>4.4000000000000004E-2</v>
          </cell>
          <cell r="I32">
            <v>0.85833333333333339</v>
          </cell>
          <cell r="J32">
            <v>6.1835344792350276E-2</v>
          </cell>
          <cell r="K32">
            <v>4.1223563194900184E-2</v>
          </cell>
        </row>
        <row r="33">
          <cell r="A33">
            <v>1.799184339267184</v>
          </cell>
          <cell r="B33">
            <v>9.0853282114905606E-2</v>
          </cell>
          <cell r="C33">
            <v>6.0568854743270402E-2</v>
          </cell>
          <cell r="E33">
            <v>2.2149922519336607</v>
          </cell>
          <cell r="F33">
            <v>0.16954411951781423</v>
          </cell>
          <cell r="G33">
            <v>4.4000000000000004E-2</v>
          </cell>
          <cell r="I33">
            <v>0.8866666666666666</v>
          </cell>
          <cell r="J33">
            <v>5.9859403323421802E-2</v>
          </cell>
          <cell r="K33">
            <v>3.9906268882281201E-2</v>
          </cell>
        </row>
        <row r="34">
          <cell r="A34">
            <v>1.852388254450388</v>
          </cell>
          <cell r="B34">
            <v>8.8243812796503271E-2</v>
          </cell>
          <cell r="C34">
            <v>5.8829208531002181E-2</v>
          </cell>
          <cell r="E34">
            <v>2.2812441889502457</v>
          </cell>
          <cell r="F34">
            <v>0.1646202159820882</v>
          </cell>
          <cell r="G34">
            <v>4.4000000000000004E-2</v>
          </cell>
          <cell r="I34">
            <v>0.91500000000000004</v>
          </cell>
          <cell r="J34">
            <v>5.8005833457304909E-2</v>
          </cell>
          <cell r="K34">
            <v>3.867055563820327E-2</v>
          </cell>
        </row>
        <row r="35">
          <cell r="A35">
            <v>1.905592169633592</v>
          </cell>
          <cell r="B35">
            <v>8.5780055647264764E-2</v>
          </cell>
          <cell r="C35">
            <v>5.7186703764843173E-2</v>
          </cell>
          <cell r="E35">
            <v>2.3474961259668308</v>
          </cell>
          <cell r="F35">
            <v>0.15997424103871738</v>
          </cell>
          <cell r="G35">
            <v>4.4000000000000004E-2</v>
          </cell>
          <cell r="I35">
            <v>0.94333333333333336</v>
          </cell>
          <cell r="J35">
            <v>5.6263608777491862E-2</v>
          </cell>
          <cell r="K35">
            <v>3.7509072518327913E-2</v>
          </cell>
        </row>
        <row r="36">
          <cell r="A36">
            <v>1.9587960848167962</v>
          </cell>
          <cell r="B36">
            <v>8.3450137367131749E-2</v>
          </cell>
          <cell r="C36">
            <v>5.5633424911421168E-2</v>
          </cell>
          <cell r="E36">
            <v>2.4137480629834154</v>
          </cell>
          <cell r="F36">
            <v>0.15558330914979729</v>
          </cell>
          <cell r="G36">
            <v>4.4000000000000004E-2</v>
          </cell>
          <cell r="I36">
            <v>0.97166666666666668</v>
          </cell>
          <cell r="J36">
            <v>5.4622988967513539E-2</v>
          </cell>
          <cell r="K36">
            <v>3.6415325978342364E-2</v>
          </cell>
        </row>
        <row r="37">
          <cell r="A37">
            <v>2.012</v>
          </cell>
          <cell r="B37">
            <v>8.124344053288346E-2</v>
          </cell>
          <cell r="C37">
            <v>5.4162293688588971E-2</v>
          </cell>
          <cell r="E37">
            <v>2.48</v>
          </cell>
          <cell r="F37">
            <v>0.15142698027938434</v>
          </cell>
          <cell r="G37">
            <v>4.4000000000000004E-2</v>
          </cell>
          <cell r="I37">
            <v>1</v>
          </cell>
          <cell r="J37">
            <v>5.3075337613433991E-2</v>
          </cell>
          <cell r="K37">
            <v>3.5383558408955997E-2</v>
          </cell>
        </row>
        <row r="38">
          <cell r="A38">
            <v>2.0778666666666665</v>
          </cell>
          <cell r="B38">
            <v>7.617437635289652E-2</v>
          </cell>
          <cell r="C38">
            <v>5.078291756859768E-2</v>
          </cell>
          <cell r="E38">
            <v>2.5146666666666668</v>
          </cell>
          <cell r="F38">
            <v>0.14728067756459604</v>
          </cell>
          <cell r="G38">
            <v>4.4000000000000004E-2</v>
          </cell>
          <cell r="I38">
            <v>1.1333333333333333</v>
          </cell>
          <cell r="J38">
            <v>4.1321629629836161E-2</v>
          </cell>
          <cell r="K38">
            <v>2.754775308655744E-2</v>
          </cell>
        </row>
        <row r="39">
          <cell r="A39">
            <v>2.1437333333333335</v>
          </cell>
          <cell r="B39">
            <v>7.1565339802853872E-2</v>
          </cell>
          <cell r="C39">
            <v>4.7710226535235913E-2</v>
          </cell>
          <cell r="E39">
            <v>2.5493333333333332</v>
          </cell>
          <cell r="F39">
            <v>0.14330237045442951</v>
          </cell>
          <cell r="G39">
            <v>4.4000000000000004E-2</v>
          </cell>
          <cell r="I39">
            <v>1.2666666666666666</v>
          </cell>
          <cell r="J39">
            <v>3.3080196573469944E-2</v>
          </cell>
          <cell r="K39">
            <v>2.2053464382313297E-2</v>
          </cell>
        </row>
        <row r="40">
          <cell r="A40">
            <v>2.2096</v>
          </cell>
          <cell r="B40">
            <v>6.7362304643473703E-2</v>
          </cell>
          <cell r="C40">
            <v>4.4908203095649128E-2</v>
          </cell>
          <cell r="E40">
            <v>2.5840000000000001</v>
          </cell>
          <cell r="F40">
            <v>0.13948310445656367</v>
          </cell>
          <cell r="G40">
            <v>4.4000000000000004E-2</v>
          </cell>
          <cell r="I40">
            <v>1.4</v>
          </cell>
          <cell r="J40">
            <v>2.7079253884405102E-2</v>
          </cell>
          <cell r="K40">
            <v>1.8052835922936734E-2</v>
          </cell>
        </row>
        <row r="41">
          <cell r="A41">
            <v>2.2754666666666665</v>
          </cell>
          <cell r="B41">
            <v>6.3518949034705896E-2</v>
          </cell>
          <cell r="C41">
            <v>4.2345966023137262E-2</v>
          </cell>
          <cell r="E41">
            <v>2.6186666666666665</v>
          </cell>
          <cell r="F41">
            <v>0.13581451383937299</v>
          </cell>
          <cell r="G41">
            <v>4.4000000000000004E-2</v>
          </cell>
          <cell r="I41">
            <v>1.5333333333333332</v>
          </cell>
          <cell r="J41">
            <v>2.257457648964584E-2</v>
          </cell>
          <cell r="K41">
            <v>1.5049717659763893E-2</v>
          </cell>
        </row>
        <row r="42">
          <cell r="A42">
            <v>2.3413333333333335</v>
          </cell>
          <cell r="B42">
            <v>5.9995373756641324E-2</v>
          </cell>
          <cell r="C42">
            <v>3.9996915837760882E-2</v>
          </cell>
          <cell r="E42">
            <v>2.6533333333333333</v>
          </cell>
          <cell r="F42">
            <v>0.13228877578206558</v>
          </cell>
          <cell r="G42">
            <v>4.4000000000000004E-2</v>
          </cell>
          <cell r="I42">
            <v>1.6666666666666665</v>
          </cell>
          <cell r="J42">
            <v>1.9107121540836242E-2</v>
          </cell>
          <cell r="K42">
            <v>1.273808102722416E-2</v>
          </cell>
        </row>
        <row r="43">
          <cell r="A43">
            <v>2.4072</v>
          </cell>
          <cell r="B43">
            <v>5.6757062494206506E-2</v>
          </cell>
          <cell r="C43">
            <v>3.7838041662804335E-2</v>
          </cell>
          <cell r="E43">
            <v>2.6880000000000002</v>
          </cell>
          <cell r="F43">
            <v>0.12889856863705385</v>
          </cell>
          <cell r="G43">
            <v>4.4000000000000004E-2</v>
          </cell>
          <cell r="I43">
            <v>1.8</v>
          </cell>
          <cell r="J43">
            <v>1.6381277041183331E-2</v>
          </cell>
          <cell r="K43">
            <v>1.0920851360788887E-2</v>
          </cell>
        </row>
        <row r="44">
          <cell r="A44">
            <v>2.4730666666666665</v>
          </cell>
          <cell r="B44">
            <v>5.377403331676419E-2</v>
          </cell>
          <cell r="C44">
            <v>3.5849355544509458E-2</v>
          </cell>
          <cell r="E44">
            <v>2.7226666666666666</v>
          </cell>
          <cell r="F44">
            <v>0.12563703388838265</v>
          </cell>
          <cell r="G44">
            <v>4.4000000000000004E-2</v>
          </cell>
          <cell r="I44">
            <v>1.9333333333333333</v>
          </cell>
          <cell r="J44">
            <v>1.4199703879931806E-2</v>
          </cell>
          <cell r="K44">
            <v>9.4664692532878715E-3</v>
          </cell>
        </row>
        <row r="45">
          <cell r="A45">
            <v>2.5389333333333335</v>
          </cell>
          <cell r="B45">
            <v>5.1020142201444671E-2</v>
          </cell>
          <cell r="C45">
            <v>3.4013428134296447E-2</v>
          </cell>
          <cell r="E45">
            <v>2.7573333333333334</v>
          </cell>
          <cell r="F45">
            <v>0.12249774143683381</v>
          </cell>
          <cell r="G45">
            <v>4.4000000000000004E-2</v>
          </cell>
          <cell r="I45">
            <v>2.0666666666666664</v>
          </cell>
          <cell r="J45">
            <v>1.2426587890762385E-2</v>
          </cell>
          <cell r="K45">
            <v>8.284391927174924E-3</v>
          </cell>
        </row>
        <row r="46">
          <cell r="A46">
            <v>2.6048</v>
          </cell>
          <cell r="B46">
            <v>4.8472508242636513E-2</v>
          </cell>
          <cell r="C46">
            <v>3.2315005495091004E-2</v>
          </cell>
          <cell r="E46">
            <v>2.7919999999999998</v>
          </cell>
          <cell r="F46">
            <v>0.11947465788334115</v>
          </cell>
          <cell r="G46">
            <v>4.4000000000000004E-2</v>
          </cell>
          <cell r="I46">
            <v>2.2000000000000002</v>
          </cell>
          <cell r="J46">
            <v>1.0965978845750823E-2</v>
          </cell>
          <cell r="K46">
            <v>7.3106525638338823E-3</v>
          </cell>
        </row>
        <row r="47">
          <cell r="A47">
            <v>2.6706666666666665</v>
          </cell>
          <cell r="B47">
            <v>4.6111036842653844E-2</v>
          </cell>
          <cell r="C47">
            <v>3.0740691228435892E-2</v>
          </cell>
          <cell r="E47">
            <v>2.8266666666666667</v>
          </cell>
          <cell r="F47">
            <v>0.11656211751836908</v>
          </cell>
          <cell r="G47">
            <v>4.4000000000000004E-2</v>
          </cell>
          <cell r="I47">
            <v>2.333333333333333</v>
          </cell>
          <cell r="J47">
            <v>9.7485313983858377E-3</v>
          </cell>
          <cell r="K47">
            <v>6.4990209322572257E-3</v>
          </cell>
        </row>
        <row r="48">
          <cell r="A48">
            <v>2.7365333333333335</v>
          </cell>
          <cell r="B48">
            <v>4.3918022249925366E-2</v>
          </cell>
          <cell r="C48">
            <v>2.9278681499950242E-2</v>
          </cell>
          <cell r="E48">
            <v>2.8613333333333335</v>
          </cell>
          <cell r="F48">
            <v>0.11375479575659041</v>
          </cell>
          <cell r="G48">
            <v>4.4000000000000004E-2</v>
          </cell>
          <cell r="I48">
            <v>2.4666666666666668</v>
          </cell>
          <cell r="J48">
            <v>8.7231197684606628E-3</v>
          </cell>
          <cell r="K48">
            <v>5.8154131789737752E-3</v>
          </cell>
        </row>
        <row r="49">
          <cell r="A49">
            <v>2.8024</v>
          </cell>
          <cell r="B49">
            <v>4.187781470493647E-2</v>
          </cell>
          <cell r="C49">
            <v>2.7918543136624313E-2</v>
          </cell>
          <cell r="E49">
            <v>2.8959999999999999</v>
          </cell>
          <cell r="F49">
            <v>0.11104768478410941</v>
          </cell>
          <cell r="G49">
            <v>4.4000000000000004E-2</v>
          </cell>
          <cell r="I49">
            <v>2.6</v>
          </cell>
          <cell r="J49">
            <v>7.8513813037624242E-3</v>
          </cell>
          <cell r="K49">
            <v>5.2342542025082834E-3</v>
          </cell>
        </row>
        <row r="50">
          <cell r="A50">
            <v>2.8682666666666665</v>
          </cell>
          <cell r="B50">
            <v>3.9976540464476767E-2</v>
          </cell>
          <cell r="C50">
            <v>2.6651026976317844E-2</v>
          </cell>
          <cell r="E50">
            <v>2.9306666666666668</v>
          </cell>
          <cell r="F50">
            <v>0.10843607121010786</v>
          </cell>
          <cell r="G50">
            <v>4.4000000000000004E-2</v>
          </cell>
          <cell r="I50">
            <v>2.7333333333333334</v>
          </cell>
          <cell r="J50">
            <v>7.1040755282704626E-3</v>
          </cell>
          <cell r="K50">
            <v>4.7360503521803087E-3</v>
          </cell>
        </row>
        <row r="51">
          <cell r="A51">
            <v>2.9341333333333335</v>
          </cell>
          <cell r="B51">
            <v>3.8201865317138435E-2</v>
          </cell>
          <cell r="C51">
            <v>2.546791021142562E-2</v>
          </cell>
          <cell r="E51">
            <v>2.9653333333333332</v>
          </cell>
          <cell r="F51">
            <v>0.10591551553655956</v>
          </cell>
          <cell r="G51">
            <v>4.4000000000000004E-2</v>
          </cell>
          <cell r="I51">
            <v>2.8666666666666667</v>
          </cell>
          <cell r="J51">
            <v>6.4585997636682786E-3</v>
          </cell>
          <cell r="K51">
            <v>4.3057331757788532E-3</v>
          </cell>
        </row>
        <row r="52">
          <cell r="A52">
            <v>3</v>
          </cell>
          <cell r="B52">
            <v>3.6542794036949884E-2</v>
          </cell>
          <cell r="C52">
            <v>2.4361862691299922E-2</v>
          </cell>
          <cell r="E52">
            <v>3</v>
          </cell>
          <cell r="F52">
            <v>0.10348183327892503</v>
          </cell>
          <cell r="G52">
            <v>4.4000000000000004E-2</v>
          </cell>
          <cell r="I52">
            <v>3</v>
          </cell>
          <cell r="J52">
            <v>5.8972597348259988E-3</v>
          </cell>
          <cell r="K52">
            <v>3.9315064898839992E-3</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Q33"/>
  <sheetViews>
    <sheetView topLeftCell="E13" zoomScaleNormal="100" workbookViewId="0">
      <selection activeCell="J30" sqref="J30"/>
    </sheetView>
  </sheetViews>
  <sheetFormatPr defaultRowHeight="15" x14ac:dyDescent="0.25"/>
  <cols>
    <col min="2" max="2" width="32.7109375" customWidth="1"/>
    <col min="3" max="3" width="10.7109375" customWidth="1"/>
    <col min="5" max="5" width="27.42578125" customWidth="1"/>
    <col min="6" max="6" width="9.5703125" bestFit="1" customWidth="1"/>
    <col min="8" max="8" width="11" customWidth="1"/>
    <col min="9" max="9" width="11.7109375" customWidth="1"/>
    <col min="10" max="10" width="9.7109375" customWidth="1"/>
    <col min="13" max="13" width="20" customWidth="1"/>
    <col min="14" max="14" width="19.85546875" customWidth="1"/>
  </cols>
  <sheetData>
    <row r="2" spans="2:17" ht="17.25" x14ac:dyDescent="0.25">
      <c r="B2" s="2" t="s">
        <v>35</v>
      </c>
      <c r="C2" s="72">
        <v>24</v>
      </c>
    </row>
    <row r="3" spans="2:17" ht="18" customHeight="1" x14ac:dyDescent="0.25">
      <c r="B3" s="2" t="s">
        <v>0</v>
      </c>
      <c r="C3" s="72">
        <v>25</v>
      </c>
    </row>
    <row r="4" spans="2:17" ht="18.75" x14ac:dyDescent="0.25">
      <c r="B4" s="2" t="s">
        <v>117</v>
      </c>
      <c r="C4" s="72">
        <v>8</v>
      </c>
      <c r="E4" s="90" t="s">
        <v>13</v>
      </c>
      <c r="F4" s="90"/>
      <c r="H4" s="100" t="s">
        <v>263</v>
      </c>
      <c r="I4" s="101"/>
      <c r="J4" s="101"/>
      <c r="K4" s="102"/>
      <c r="M4" s="103" t="s">
        <v>40</v>
      </c>
      <c r="N4" s="103"/>
      <c r="O4" s="103"/>
      <c r="P4" s="103"/>
      <c r="Q4" s="103"/>
    </row>
    <row r="5" spans="2:17" ht="17.25" x14ac:dyDescent="0.25">
      <c r="B5" s="2" t="s">
        <v>1</v>
      </c>
      <c r="C5" s="72">
        <v>18</v>
      </c>
      <c r="E5" s="71" t="s">
        <v>42</v>
      </c>
      <c r="F5" s="5">
        <f>C11*8.65</f>
        <v>0.71795000000000009</v>
      </c>
      <c r="H5" s="93" t="s">
        <v>42</v>
      </c>
      <c r="I5" s="94"/>
      <c r="J5" s="95"/>
      <c r="K5" s="5">
        <f>C11*8.65</f>
        <v>0.71795000000000009</v>
      </c>
      <c r="M5" s="104"/>
      <c r="N5" s="104"/>
      <c r="O5" s="75" t="s">
        <v>14</v>
      </c>
      <c r="P5" s="75" t="s">
        <v>16</v>
      </c>
      <c r="Q5" s="75" t="s">
        <v>15</v>
      </c>
    </row>
    <row r="6" spans="2:17" ht="17.25" x14ac:dyDescent="0.25">
      <c r="B6" s="2" t="s">
        <v>38</v>
      </c>
      <c r="C6" s="72">
        <v>22</v>
      </c>
      <c r="E6" s="71" t="s">
        <v>43</v>
      </c>
      <c r="F6" s="72">
        <f>3*0.08*C12*1*C3</f>
        <v>1.0799999999999998</v>
      </c>
      <c r="H6" s="93" t="s">
        <v>43</v>
      </c>
      <c r="I6" s="94"/>
      <c r="J6" s="95"/>
      <c r="K6" s="72">
        <f>3*0.08*C12*1*C3</f>
        <v>1.0799999999999998</v>
      </c>
      <c r="M6" s="96" t="s">
        <v>18</v>
      </c>
      <c r="N6" s="96"/>
      <c r="O6" s="4">
        <v>0.7</v>
      </c>
      <c r="P6" s="4">
        <v>0.5</v>
      </c>
      <c r="Q6" s="4">
        <v>0.3</v>
      </c>
    </row>
    <row r="7" spans="2:17" ht="17.25" x14ac:dyDescent="0.25">
      <c r="B7" s="2" t="s">
        <v>2</v>
      </c>
      <c r="C7" s="72">
        <v>21</v>
      </c>
      <c r="E7" s="71" t="s">
        <v>44</v>
      </c>
      <c r="F7" s="5">
        <f>1*1*C13*C3</f>
        <v>1</v>
      </c>
      <c r="G7" s="25"/>
      <c r="H7" s="93" t="s">
        <v>44</v>
      </c>
      <c r="I7" s="94"/>
      <c r="J7" s="95"/>
      <c r="K7" s="5">
        <f>1*1*C13*C3</f>
        <v>1</v>
      </c>
      <c r="M7" s="96" t="s">
        <v>17</v>
      </c>
      <c r="N7" s="96"/>
      <c r="O7" s="4">
        <v>0.7</v>
      </c>
      <c r="P7" s="4">
        <v>0.5</v>
      </c>
      <c r="Q7" s="4">
        <v>0.3</v>
      </c>
    </row>
    <row r="8" spans="2:17" ht="17.25" x14ac:dyDescent="0.25">
      <c r="B8" s="2" t="s">
        <v>3</v>
      </c>
      <c r="C8" s="72">
        <v>27</v>
      </c>
      <c r="E8" s="71" t="s">
        <v>45</v>
      </c>
      <c r="F8" s="72">
        <f>1*1*C14*C4</f>
        <v>0.64</v>
      </c>
      <c r="G8" s="25"/>
      <c r="H8" s="93" t="s">
        <v>264</v>
      </c>
      <c r="I8" s="94"/>
      <c r="J8" s="95"/>
      <c r="K8" s="72">
        <v>0.3</v>
      </c>
      <c r="M8" s="96" t="s">
        <v>19</v>
      </c>
      <c r="N8" s="96"/>
      <c r="O8" s="4">
        <v>0.7</v>
      </c>
      <c r="P8" s="4">
        <v>0.7</v>
      </c>
      <c r="Q8" s="4">
        <v>0.6</v>
      </c>
    </row>
    <row r="9" spans="2:17" ht="17.25" x14ac:dyDescent="0.25">
      <c r="B9" s="2" t="s">
        <v>4</v>
      </c>
      <c r="C9" s="72">
        <v>18</v>
      </c>
      <c r="E9" s="71" t="s">
        <v>46</v>
      </c>
      <c r="F9" s="72">
        <f>1*1*C16*C7</f>
        <v>0.21</v>
      </c>
      <c r="H9" s="97" t="s">
        <v>265</v>
      </c>
      <c r="I9" s="98"/>
      <c r="J9" s="99"/>
      <c r="K9" s="79">
        <f>SUM(K5:K8)</f>
        <v>3.09795</v>
      </c>
      <c r="M9" s="96" t="s">
        <v>20</v>
      </c>
      <c r="N9" s="96"/>
      <c r="O9" s="4">
        <v>0.7</v>
      </c>
      <c r="P9" s="4">
        <v>0.7</v>
      </c>
      <c r="Q9" s="4">
        <v>0.6</v>
      </c>
    </row>
    <row r="10" spans="2:17" ht="17.25" x14ac:dyDescent="0.25">
      <c r="B10" s="2" t="s">
        <v>5</v>
      </c>
      <c r="C10" s="72">
        <v>6</v>
      </c>
      <c r="E10" s="71" t="s">
        <v>47</v>
      </c>
      <c r="F10" s="72">
        <f>1*1*C17*C5</f>
        <v>0.18</v>
      </c>
      <c r="M10" s="96" t="s">
        <v>21</v>
      </c>
      <c r="N10" s="96"/>
      <c r="O10" s="4">
        <v>1</v>
      </c>
      <c r="P10" s="4">
        <v>0.9</v>
      </c>
      <c r="Q10" s="4">
        <v>0.8</v>
      </c>
    </row>
    <row r="11" spans="2:17" ht="17.25" x14ac:dyDescent="0.25">
      <c r="B11" s="2" t="s">
        <v>6</v>
      </c>
      <c r="C11" s="72">
        <v>8.3000000000000004E-2</v>
      </c>
      <c r="E11" s="80" t="s">
        <v>48</v>
      </c>
      <c r="F11" s="79">
        <f>SUM(F5:F10)</f>
        <v>3.8279500000000004</v>
      </c>
      <c r="H11" s="100" t="s">
        <v>37</v>
      </c>
      <c r="I11" s="101"/>
      <c r="J11" s="101"/>
      <c r="K11" s="102"/>
      <c r="M11" s="96" t="s">
        <v>266</v>
      </c>
      <c r="N11" s="96"/>
      <c r="O11" s="75">
        <v>0.7</v>
      </c>
      <c r="P11" s="75">
        <v>0.7</v>
      </c>
      <c r="Q11" s="75">
        <v>0.6</v>
      </c>
    </row>
    <row r="12" spans="2:17" x14ac:dyDescent="0.25">
      <c r="B12" s="2" t="s">
        <v>7</v>
      </c>
      <c r="C12" s="72">
        <v>0.18</v>
      </c>
      <c r="H12" s="93" t="str">
        <f>E5</f>
        <v>pignatta  [kN/m2]</v>
      </c>
      <c r="I12" s="94"/>
      <c r="J12" s="95"/>
      <c r="K12" s="5">
        <f>F5</f>
        <v>0.71795000000000009</v>
      </c>
      <c r="M12" s="96" t="s">
        <v>22</v>
      </c>
      <c r="N12" s="96"/>
      <c r="O12" s="75">
        <v>0.7</v>
      </c>
      <c r="P12" s="75">
        <v>0.5</v>
      </c>
      <c r="Q12" s="75">
        <v>0.3</v>
      </c>
    </row>
    <row r="13" spans="2:17" x14ac:dyDescent="0.25">
      <c r="B13" s="2" t="s">
        <v>8</v>
      </c>
      <c r="C13" s="72">
        <v>0.04</v>
      </c>
      <c r="H13" s="93" t="str">
        <f>E6</f>
        <v>travetto [kN/m2]</v>
      </c>
      <c r="I13" s="94"/>
      <c r="J13" s="95"/>
      <c r="K13" s="72">
        <f>F6</f>
        <v>1.0799999999999998</v>
      </c>
      <c r="M13" s="96" t="s">
        <v>23</v>
      </c>
      <c r="N13" s="96"/>
      <c r="O13" s="4">
        <v>0</v>
      </c>
      <c r="P13" s="4">
        <v>0</v>
      </c>
      <c r="Q13" s="4">
        <v>0</v>
      </c>
    </row>
    <row r="14" spans="2:17" x14ac:dyDescent="0.25">
      <c r="B14" s="2" t="s">
        <v>9</v>
      </c>
      <c r="C14" s="72">
        <v>0.08</v>
      </c>
      <c r="E14" s="90" t="s">
        <v>30</v>
      </c>
      <c r="F14" s="90"/>
      <c r="H14" s="93" t="str">
        <f>E7</f>
        <v>soletta [kN/m2]</v>
      </c>
      <c r="I14" s="94"/>
      <c r="J14" s="95"/>
      <c r="K14" s="5">
        <f>F7</f>
        <v>1</v>
      </c>
      <c r="M14" s="96" t="s">
        <v>24</v>
      </c>
      <c r="N14" s="96"/>
      <c r="O14" s="75">
        <v>0.6</v>
      </c>
      <c r="P14" s="75">
        <v>0.2</v>
      </c>
      <c r="Q14" s="4">
        <v>0</v>
      </c>
    </row>
    <row r="15" spans="2:17" ht="17.25" x14ac:dyDescent="0.25">
      <c r="B15" s="2" t="s">
        <v>199</v>
      </c>
      <c r="C15" s="72">
        <v>0.04</v>
      </c>
      <c r="E15" s="73" t="s">
        <v>194</v>
      </c>
      <c r="F15" s="5">
        <f>0.2*1*$C$3*C21</f>
        <v>5.6628496796757135</v>
      </c>
      <c r="H15" s="93" t="s">
        <v>45</v>
      </c>
      <c r="I15" s="94"/>
      <c r="J15" s="95"/>
      <c r="K15" s="72">
        <f>1*1*C4*C15</f>
        <v>0.32</v>
      </c>
      <c r="M15" s="96" t="s">
        <v>267</v>
      </c>
      <c r="N15" s="96"/>
      <c r="O15" s="75">
        <v>0.5</v>
      </c>
      <c r="P15" s="75">
        <v>0.2</v>
      </c>
      <c r="Q15" s="4">
        <v>0</v>
      </c>
    </row>
    <row r="16" spans="2:17" ht="17.25" x14ac:dyDescent="0.25">
      <c r="B16" s="2" t="s">
        <v>12</v>
      </c>
      <c r="C16" s="72">
        <v>0.01</v>
      </c>
      <c r="E16" s="73" t="s">
        <v>10</v>
      </c>
      <c r="F16" s="5">
        <f>C17*1*C21*C5</f>
        <v>0.2038625884683257</v>
      </c>
      <c r="H16" s="93" t="s">
        <v>46</v>
      </c>
      <c r="I16" s="94"/>
      <c r="J16" s="95"/>
      <c r="K16" s="72">
        <f>$F$9</f>
        <v>0.21</v>
      </c>
      <c r="M16" s="96" t="s">
        <v>268</v>
      </c>
      <c r="N16" s="96"/>
      <c r="O16" s="75">
        <v>0.7</v>
      </c>
      <c r="P16" s="75">
        <v>0.5</v>
      </c>
      <c r="Q16" s="4">
        <v>0</v>
      </c>
    </row>
    <row r="17" spans="2:17" x14ac:dyDescent="0.25">
      <c r="B17" s="2" t="s">
        <v>11</v>
      </c>
      <c r="C17" s="72">
        <v>0.01</v>
      </c>
      <c r="E17" s="73" t="s">
        <v>195</v>
      </c>
      <c r="F17" s="5">
        <f>0.5*C23*C22*1*24*1/0.3</f>
        <v>1.9200000000000004</v>
      </c>
      <c r="H17" s="93" t="s">
        <v>10</v>
      </c>
      <c r="I17" s="94"/>
      <c r="J17" s="95"/>
      <c r="K17" s="72">
        <f>$F$10</f>
        <v>0.18</v>
      </c>
      <c r="M17" s="96" t="s">
        <v>25</v>
      </c>
      <c r="N17" s="96"/>
      <c r="O17" s="75">
        <v>0.6</v>
      </c>
      <c r="P17" s="75">
        <v>0.5</v>
      </c>
      <c r="Q17" s="4">
        <v>0</v>
      </c>
    </row>
    <row r="18" spans="2:17" ht="17.25" x14ac:dyDescent="0.25">
      <c r="B18" s="2" t="s">
        <v>36</v>
      </c>
      <c r="C18" s="72">
        <v>0.02</v>
      </c>
      <c r="E18" s="73" t="s">
        <v>196</v>
      </c>
      <c r="F18" s="72">
        <f>1*1*C15*C4</f>
        <v>0.32</v>
      </c>
      <c r="H18" s="97" t="s">
        <v>99</v>
      </c>
      <c r="I18" s="98"/>
      <c r="J18" s="99"/>
      <c r="K18" s="79">
        <f>SUM(K12:K17)</f>
        <v>3.5079500000000001</v>
      </c>
    </row>
    <row r="19" spans="2:17" x14ac:dyDescent="0.25">
      <c r="E19" s="73" t="s">
        <v>197</v>
      </c>
      <c r="F19" s="72">
        <f>1*1*C8*C18</f>
        <v>0.54</v>
      </c>
    </row>
    <row r="20" spans="2:17" x14ac:dyDescent="0.25">
      <c r="B20" s="90" t="s">
        <v>34</v>
      </c>
      <c r="C20" s="90"/>
      <c r="E20" s="80" t="s">
        <v>198</v>
      </c>
      <c r="F20" s="79">
        <f>SUM(F15:F19)</f>
        <v>8.6467122681440394</v>
      </c>
    </row>
    <row r="21" spans="2:17" x14ac:dyDescent="0.25">
      <c r="B21" s="73" t="s">
        <v>31</v>
      </c>
      <c r="C21" s="5">
        <f>1/COS(0.488692)</f>
        <v>1.1325699359351427</v>
      </c>
    </row>
    <row r="22" spans="2:17" x14ac:dyDescent="0.25">
      <c r="B22" s="73" t="s">
        <v>32</v>
      </c>
      <c r="C22" s="5">
        <v>0.16</v>
      </c>
    </row>
    <row r="23" spans="2:17" x14ac:dyDescent="0.25">
      <c r="B23" s="73" t="s">
        <v>33</v>
      </c>
      <c r="C23" s="5">
        <v>0.3</v>
      </c>
      <c r="E23" s="91" t="s">
        <v>30</v>
      </c>
      <c r="F23" s="91"/>
    </row>
    <row r="24" spans="2:17" x14ac:dyDescent="0.25">
      <c r="E24" s="92" t="s">
        <v>41</v>
      </c>
      <c r="F24" s="92"/>
      <c r="G24" t="s">
        <v>62</v>
      </c>
      <c r="H24" s="87" t="s">
        <v>119</v>
      </c>
      <c r="I24" s="87"/>
      <c r="J24" s="69" t="s">
        <v>100</v>
      </c>
      <c r="K24" s="69" t="s">
        <v>101</v>
      </c>
      <c r="L24" s="69" t="s">
        <v>102</v>
      </c>
      <c r="M24" s="69" t="s">
        <v>103</v>
      </c>
      <c r="N24" s="69" t="s">
        <v>248</v>
      </c>
      <c r="O24" s="69" t="s">
        <v>249</v>
      </c>
      <c r="P24" s="69" t="s">
        <v>104</v>
      </c>
    </row>
    <row r="25" spans="2:17" ht="17.25" x14ac:dyDescent="0.25">
      <c r="E25" s="81" t="s">
        <v>269</v>
      </c>
      <c r="F25" s="82">
        <f>C18*1*1*C8</f>
        <v>0.54</v>
      </c>
      <c r="H25" s="88" t="s">
        <v>120</v>
      </c>
      <c r="I25" s="89"/>
      <c r="J25" s="5">
        <f>F11</f>
        <v>3.8279500000000004</v>
      </c>
      <c r="K25" s="5">
        <v>1.6</v>
      </c>
      <c r="L25" s="5">
        <v>2</v>
      </c>
      <c r="M25" s="5">
        <f>J25+K25+L25*Q6</f>
        <v>6.0279500000000006</v>
      </c>
      <c r="N25" s="5">
        <f>(J25+K25)*C27</f>
        <v>7.0563350000000016</v>
      </c>
      <c r="O25" s="5">
        <f>L25*C28</f>
        <v>3</v>
      </c>
      <c r="P25" s="5">
        <f>N25+O25</f>
        <v>10.056335000000001</v>
      </c>
    </row>
    <row r="26" spans="2:17" ht="17.25" x14ac:dyDescent="0.25">
      <c r="B26" s="90" t="s">
        <v>26</v>
      </c>
      <c r="C26" s="90"/>
      <c r="E26" s="83" t="s">
        <v>270</v>
      </c>
      <c r="F26" s="84">
        <v>2</v>
      </c>
      <c r="H26" s="88" t="s">
        <v>108</v>
      </c>
      <c r="I26" s="89"/>
      <c r="J26" s="5">
        <f>K9</f>
        <v>3.09795</v>
      </c>
      <c r="K26" s="85"/>
      <c r="L26" s="5">
        <v>0.5</v>
      </c>
      <c r="M26" s="5">
        <f>J26+Q13*L26</f>
        <v>3.09795</v>
      </c>
      <c r="N26" s="5">
        <f>J26*C27</f>
        <v>4.0273349999999999</v>
      </c>
      <c r="O26" s="5">
        <f>L26*C28</f>
        <v>0.75</v>
      </c>
      <c r="P26" s="5">
        <f>N26+O26</f>
        <v>4.7773349999999999</v>
      </c>
    </row>
    <row r="27" spans="2:17" x14ac:dyDescent="0.25">
      <c r="B27" s="1" t="s">
        <v>27</v>
      </c>
      <c r="C27" s="72">
        <v>1.3</v>
      </c>
      <c r="H27" s="87" t="s">
        <v>121</v>
      </c>
      <c r="I27" s="87"/>
      <c r="J27" s="5">
        <f>K18</f>
        <v>3.5079500000000001</v>
      </c>
      <c r="K27" s="5"/>
      <c r="L27" s="5">
        <v>4</v>
      </c>
      <c r="M27" s="5">
        <f>J27+Q8*L27</f>
        <v>5.9079499999999996</v>
      </c>
      <c r="N27" s="5">
        <f>J27*C27</f>
        <v>4.5603350000000002</v>
      </c>
      <c r="O27" s="5">
        <f>L27*C28</f>
        <v>6</v>
      </c>
      <c r="P27" s="5">
        <f>N27+O27</f>
        <v>10.560335</v>
      </c>
    </row>
    <row r="28" spans="2:17" x14ac:dyDescent="0.25">
      <c r="B28" s="72" t="s">
        <v>28</v>
      </c>
      <c r="C28" s="72">
        <v>1.5</v>
      </c>
      <c r="H28" s="87" t="s">
        <v>105</v>
      </c>
      <c r="I28" s="87"/>
      <c r="J28" s="5">
        <f>F20</f>
        <v>8.6467122681440394</v>
      </c>
      <c r="K28" s="5"/>
      <c r="L28" s="5">
        <v>4</v>
      </c>
      <c r="M28" s="5">
        <f>J28+Q8*L28</f>
        <v>11.04671226814404</v>
      </c>
      <c r="N28" s="5">
        <f>J28*C27</f>
        <v>11.240725948587251</v>
      </c>
      <c r="O28" s="5">
        <f>L28*C28</f>
        <v>6</v>
      </c>
      <c r="P28" s="5">
        <f>N28+O28</f>
        <v>17.240725948587251</v>
      </c>
    </row>
    <row r="29" spans="2:17" x14ac:dyDescent="0.25">
      <c r="B29" s="72" t="s">
        <v>29</v>
      </c>
      <c r="C29" s="72">
        <v>1</v>
      </c>
      <c r="H29" s="87" t="s">
        <v>106</v>
      </c>
      <c r="I29" s="87"/>
      <c r="J29" s="5">
        <v>6</v>
      </c>
      <c r="K29" s="5"/>
      <c r="L29" s="5"/>
      <c r="M29" s="5">
        <f>J29</f>
        <v>6</v>
      </c>
      <c r="N29" s="5">
        <f>J29*C$27</f>
        <v>7.8000000000000007</v>
      </c>
      <c r="O29" s="5"/>
      <c r="P29" s="5">
        <f>N29</f>
        <v>7.8000000000000007</v>
      </c>
    </row>
    <row r="30" spans="2:17" x14ac:dyDescent="0.25">
      <c r="H30" s="87" t="s">
        <v>271</v>
      </c>
      <c r="I30" s="87"/>
      <c r="J30" s="5">
        <f>(0.3*0.6*1*25)-0.3*2.8</f>
        <v>3.66</v>
      </c>
      <c r="K30" s="5"/>
      <c r="L30" s="5"/>
      <c r="M30" s="5">
        <f>J30</f>
        <v>3.66</v>
      </c>
      <c r="N30" s="5">
        <f>J30*C$27</f>
        <v>4.758</v>
      </c>
      <c r="O30" s="5"/>
      <c r="P30" s="5">
        <f>N30</f>
        <v>4.758</v>
      </c>
    </row>
    <row r="31" spans="2:17" x14ac:dyDescent="0.25">
      <c r="G31" s="25"/>
      <c r="H31" s="87" t="s">
        <v>272</v>
      </c>
      <c r="I31" s="87"/>
      <c r="J31" s="5">
        <f>(0.3*0.22*1*25)-0.3*2.8</f>
        <v>0.81000000000000016</v>
      </c>
      <c r="K31" s="5"/>
      <c r="L31" s="5"/>
      <c r="M31" s="5">
        <f>J31</f>
        <v>0.81000000000000016</v>
      </c>
      <c r="N31" s="5">
        <f>J31*C$27</f>
        <v>1.0530000000000002</v>
      </c>
      <c r="O31" s="5"/>
      <c r="P31" s="5">
        <f>N31</f>
        <v>1.0530000000000002</v>
      </c>
    </row>
    <row r="32" spans="2:17" x14ac:dyDescent="0.25">
      <c r="H32" s="87" t="s">
        <v>253</v>
      </c>
      <c r="I32" s="87"/>
      <c r="J32" s="5">
        <f>0.3*0.8*2.68*25</f>
        <v>16.079999999999998</v>
      </c>
      <c r="K32" s="5"/>
      <c r="L32" s="5"/>
      <c r="M32" s="5">
        <f>J32</f>
        <v>16.079999999999998</v>
      </c>
      <c r="N32" s="5">
        <f>J32*C27</f>
        <v>20.904</v>
      </c>
      <c r="O32" s="5"/>
      <c r="P32" s="5">
        <f>N32</f>
        <v>20.904</v>
      </c>
    </row>
    <row r="33" spans="8:16" x14ac:dyDescent="0.25">
      <c r="H33" s="87" t="s">
        <v>122</v>
      </c>
      <c r="I33" s="87"/>
      <c r="J33" s="5">
        <f>J30</f>
        <v>3.66</v>
      </c>
      <c r="K33" s="5"/>
      <c r="L33" s="5"/>
      <c r="M33" s="5">
        <f>M30</f>
        <v>3.66</v>
      </c>
      <c r="N33" s="5"/>
      <c r="O33" s="5"/>
      <c r="P33" s="5">
        <f>P30</f>
        <v>4.758</v>
      </c>
    </row>
  </sheetData>
  <mergeCells count="44">
    <mergeCell ref="H6:J6"/>
    <mergeCell ref="M6:N6"/>
    <mergeCell ref="E4:F4"/>
    <mergeCell ref="H4:K4"/>
    <mergeCell ref="M4:Q4"/>
    <mergeCell ref="H5:J5"/>
    <mergeCell ref="M5:N5"/>
    <mergeCell ref="H13:J13"/>
    <mergeCell ref="M13:N13"/>
    <mergeCell ref="H7:J7"/>
    <mergeCell ref="M7:N7"/>
    <mergeCell ref="H8:J8"/>
    <mergeCell ref="M8:N8"/>
    <mergeCell ref="H9:J9"/>
    <mergeCell ref="M9:N9"/>
    <mergeCell ref="M10:N10"/>
    <mergeCell ref="H11:K11"/>
    <mergeCell ref="M11:N11"/>
    <mergeCell ref="H12:J12"/>
    <mergeCell ref="M12:N12"/>
    <mergeCell ref="H16:J16"/>
    <mergeCell ref="M16:N16"/>
    <mergeCell ref="H17:J17"/>
    <mergeCell ref="M17:N17"/>
    <mergeCell ref="H18:J18"/>
    <mergeCell ref="E14:F14"/>
    <mergeCell ref="H14:J14"/>
    <mergeCell ref="M14:N14"/>
    <mergeCell ref="H15:J15"/>
    <mergeCell ref="M15:N15"/>
    <mergeCell ref="B20:C20"/>
    <mergeCell ref="E23:F23"/>
    <mergeCell ref="B26:C26"/>
    <mergeCell ref="H26:I26"/>
    <mergeCell ref="H27:I27"/>
    <mergeCell ref="E24:F24"/>
    <mergeCell ref="H24:I24"/>
    <mergeCell ref="H33:I33"/>
    <mergeCell ref="H25:I25"/>
    <mergeCell ref="H28:I28"/>
    <mergeCell ref="H29:I29"/>
    <mergeCell ref="H30:I30"/>
    <mergeCell ref="H31:I31"/>
    <mergeCell ref="H32:I32"/>
  </mergeCell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1"/>
  <sheetViews>
    <sheetView workbookViewId="0">
      <selection activeCell="H19" sqref="H19"/>
    </sheetView>
  </sheetViews>
  <sheetFormatPr defaultRowHeight="15" x14ac:dyDescent="0.25"/>
  <cols>
    <col min="3" max="3" width="10.7109375" customWidth="1"/>
  </cols>
  <sheetData>
    <row r="2" spans="2:11" x14ac:dyDescent="0.25">
      <c r="B2" s="110" t="s">
        <v>164</v>
      </c>
      <c r="C2" s="111"/>
      <c r="D2" s="70" t="s">
        <v>177</v>
      </c>
    </row>
    <row r="3" spans="2:11" x14ac:dyDescent="0.25">
      <c r="B3" s="110" t="s">
        <v>165</v>
      </c>
      <c r="C3" s="111"/>
      <c r="D3" s="26" t="s">
        <v>39</v>
      </c>
    </row>
    <row r="4" spans="2:11" x14ac:dyDescent="0.25">
      <c r="B4" s="110" t="s">
        <v>166</v>
      </c>
      <c r="C4" s="111"/>
      <c r="D4" s="26" t="s">
        <v>167</v>
      </c>
    </row>
    <row r="5" spans="2:11" x14ac:dyDescent="0.25">
      <c r="B5" s="74"/>
      <c r="C5" s="25"/>
    </row>
    <row r="7" spans="2:11" x14ac:dyDescent="0.25">
      <c r="B7" s="112" t="s">
        <v>168</v>
      </c>
      <c r="C7" s="113"/>
      <c r="D7" s="114"/>
      <c r="E7" s="68" t="s">
        <v>169</v>
      </c>
      <c r="F7" s="68" t="s">
        <v>49</v>
      </c>
      <c r="G7" s="68" t="s">
        <v>50</v>
      </c>
      <c r="H7" s="68" t="s">
        <v>52</v>
      </c>
    </row>
    <row r="8" spans="2:11" x14ac:dyDescent="0.25">
      <c r="B8" s="106" t="s">
        <v>170</v>
      </c>
      <c r="C8" s="106"/>
      <c r="D8" s="106"/>
      <c r="E8" s="72">
        <v>30</v>
      </c>
      <c r="F8" s="72">
        <v>8.4000000000000005E-2</v>
      </c>
      <c r="G8" s="72">
        <v>2.5510000000000002</v>
      </c>
      <c r="H8" s="72">
        <v>0.24</v>
      </c>
      <c r="J8" s="105" t="s">
        <v>171</v>
      </c>
      <c r="K8" s="105"/>
    </row>
    <row r="9" spans="2:11" x14ac:dyDescent="0.25">
      <c r="B9" s="106" t="s">
        <v>172</v>
      </c>
      <c r="C9" s="106"/>
      <c r="D9" s="106"/>
      <c r="E9" s="72">
        <v>50</v>
      </c>
      <c r="F9" s="72">
        <v>0.10299999999999999</v>
      </c>
      <c r="G9" s="72">
        <v>2.544</v>
      </c>
      <c r="H9" s="72">
        <v>0.251</v>
      </c>
      <c r="J9" s="27" t="s">
        <v>173</v>
      </c>
      <c r="K9" s="36">
        <v>0.15159344778539699</v>
      </c>
    </row>
    <row r="10" spans="2:11" x14ac:dyDescent="0.25">
      <c r="B10" s="107" t="s">
        <v>174</v>
      </c>
      <c r="C10" s="108"/>
      <c r="D10" s="109"/>
      <c r="E10" s="74">
        <v>475</v>
      </c>
      <c r="F10" s="13">
        <v>0.22</v>
      </c>
      <c r="G10" s="72">
        <v>2.54</v>
      </c>
      <c r="H10" s="72">
        <v>0.32300000000000001</v>
      </c>
      <c r="J10" s="27" t="s">
        <v>190</v>
      </c>
      <c r="K10" s="36">
        <v>8.9300621810690109E-2</v>
      </c>
    </row>
    <row r="11" spans="2:11" x14ac:dyDescent="0.25">
      <c r="B11" s="107" t="s">
        <v>175</v>
      </c>
      <c r="C11" s="108"/>
      <c r="D11" s="109"/>
      <c r="E11" s="72">
        <v>975</v>
      </c>
      <c r="F11" s="72">
        <v>0.28599999999999998</v>
      </c>
      <c r="G11" s="72">
        <v>2.4990000000000001</v>
      </c>
      <c r="H11" s="72">
        <v>0.34899999999999998</v>
      </c>
      <c r="J11" s="28" t="s">
        <v>176</v>
      </c>
      <c r="K11" s="5">
        <f>K9/K10</f>
        <v>1.6975631827823381</v>
      </c>
    </row>
  </sheetData>
  <mergeCells count="9">
    <mergeCell ref="J8:K8"/>
    <mergeCell ref="B9:D9"/>
    <mergeCell ref="B10:D10"/>
    <mergeCell ref="B11:D11"/>
    <mergeCell ref="B2:C2"/>
    <mergeCell ref="B3:C3"/>
    <mergeCell ref="B4:C4"/>
    <mergeCell ref="B7:D7"/>
    <mergeCell ref="B8:D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U24"/>
  <sheetViews>
    <sheetView topLeftCell="D1" workbookViewId="0">
      <selection activeCell="U9" sqref="U9"/>
    </sheetView>
  </sheetViews>
  <sheetFormatPr defaultRowHeight="15" x14ac:dyDescent="0.25"/>
  <cols>
    <col min="4" max="4" width="9.7109375" customWidth="1"/>
    <col min="5" max="6" width="14" customWidth="1"/>
    <col min="7" max="7" width="14.140625" customWidth="1"/>
    <col min="8" max="8" width="13.28515625" customWidth="1"/>
    <col min="9" max="9" width="10" customWidth="1"/>
    <col min="10" max="10" width="10.28515625" customWidth="1"/>
    <col min="21" max="21" width="9.5703125" bestFit="1" customWidth="1"/>
  </cols>
  <sheetData>
    <row r="2" spans="2:21" x14ac:dyDescent="0.25">
      <c r="B2" s="41" t="s">
        <v>49</v>
      </c>
      <c r="C2" s="13">
        <v>0.22</v>
      </c>
    </row>
    <row r="3" spans="2:21" x14ac:dyDescent="0.25">
      <c r="B3" s="41" t="s">
        <v>50</v>
      </c>
      <c r="C3" s="13">
        <v>2.54</v>
      </c>
      <c r="H3" s="112" t="s">
        <v>115</v>
      </c>
      <c r="I3" s="113"/>
      <c r="J3" s="114"/>
      <c r="K3" s="15">
        <f>J6*F16^(3/4)</f>
        <v>0.7013114556897867</v>
      </c>
      <c r="M3" s="35"/>
      <c r="P3" s="41" t="s">
        <v>55</v>
      </c>
      <c r="Q3" s="41" t="s">
        <v>56</v>
      </c>
      <c r="R3" s="41" t="s">
        <v>57</v>
      </c>
      <c r="U3" s="41" t="s">
        <v>55</v>
      </c>
    </row>
    <row r="4" spans="2:21" x14ac:dyDescent="0.25">
      <c r="B4" s="41" t="s">
        <v>52</v>
      </c>
      <c r="C4" s="47">
        <v>0.32300000000000001</v>
      </c>
      <c r="O4" s="41" t="s">
        <v>58</v>
      </c>
      <c r="P4" s="43" t="s">
        <v>59</v>
      </c>
      <c r="Q4" s="43" t="s">
        <v>60</v>
      </c>
      <c r="R4" s="43" t="s">
        <v>61</v>
      </c>
      <c r="T4" s="41" t="s">
        <v>63</v>
      </c>
      <c r="U4" s="3">
        <f t="shared" ref="U4:U9" si="0">R5*M$6/R$11</f>
        <v>394.91856575105641</v>
      </c>
    </row>
    <row r="5" spans="2:21" x14ac:dyDescent="0.25">
      <c r="B5" s="41" t="s">
        <v>53</v>
      </c>
      <c r="C5" s="39">
        <v>9.81</v>
      </c>
      <c r="H5" s="112" t="s">
        <v>66</v>
      </c>
      <c r="I5" s="114"/>
      <c r="J5" s="15">
        <v>9.1999999999999998E-2</v>
      </c>
      <c r="O5" s="41">
        <v>6</v>
      </c>
      <c r="P5" s="8">
        <f>E13</f>
        <v>2988.9</v>
      </c>
      <c r="Q5" s="5">
        <f>Q6+3.2+0.23</f>
        <v>19.93</v>
      </c>
      <c r="R5" s="8">
        <f t="shared" ref="R5:R10" si="1">P5*Q5</f>
        <v>59568.777000000002</v>
      </c>
      <c r="T5" s="41" t="s">
        <v>64</v>
      </c>
      <c r="U5" s="3">
        <f t="shared" si="0"/>
        <v>313.71435566549644</v>
      </c>
    </row>
    <row r="6" spans="2:21" x14ac:dyDescent="0.25">
      <c r="H6" s="112" t="s">
        <v>54</v>
      </c>
      <c r="I6" s="114"/>
      <c r="J6" s="15">
        <v>7.4999999999999997E-2</v>
      </c>
      <c r="L6" s="19" t="s">
        <v>70</v>
      </c>
      <c r="M6" s="20">
        <f>K8*J5*$F$14*9.81</f>
        <v>1355.0746240000001</v>
      </c>
      <c r="O6" s="41">
        <v>5</v>
      </c>
      <c r="P6" s="8">
        <f>E12</f>
        <v>2867.884</v>
      </c>
      <c r="Q6" s="5">
        <f t="shared" ref="Q6:Q8" si="2">Q7+3.2</f>
        <v>16.5</v>
      </c>
      <c r="R6" s="8">
        <f t="shared" si="1"/>
        <v>47320.086000000003</v>
      </c>
      <c r="T6" s="41" t="s">
        <v>65</v>
      </c>
      <c r="U6" s="3">
        <f t="shared" si="0"/>
        <v>252.8727836576426</v>
      </c>
    </row>
    <row r="7" spans="2:21" x14ac:dyDescent="0.25">
      <c r="C7" s="88" t="s">
        <v>51</v>
      </c>
      <c r="D7" s="117"/>
      <c r="E7" s="89"/>
      <c r="F7" s="43">
        <v>10</v>
      </c>
      <c r="O7" s="41">
        <v>4</v>
      </c>
      <c r="P7" s="8">
        <f>E12</f>
        <v>2867.884</v>
      </c>
      <c r="Q7" s="5">
        <f t="shared" si="2"/>
        <v>13.3</v>
      </c>
      <c r="R7" s="8">
        <f t="shared" si="1"/>
        <v>38142.857200000006</v>
      </c>
      <c r="T7" s="41" t="s">
        <v>67</v>
      </c>
      <c r="U7" s="9">
        <f t="shared" si="0"/>
        <v>192.03121164978873</v>
      </c>
    </row>
    <row r="8" spans="2:21" x14ac:dyDescent="0.25">
      <c r="C8" s="88" t="s">
        <v>98</v>
      </c>
      <c r="D8" s="117"/>
      <c r="E8" s="89"/>
      <c r="F8" s="43">
        <v>9</v>
      </c>
      <c r="H8" s="118" t="s">
        <v>188</v>
      </c>
      <c r="I8" s="118"/>
      <c r="J8" s="34" t="s">
        <v>68</v>
      </c>
      <c r="K8" s="11">
        <v>0.85</v>
      </c>
      <c r="L8" t="s">
        <v>62</v>
      </c>
      <c r="O8" s="41">
        <v>3</v>
      </c>
      <c r="P8" s="8">
        <f>E12</f>
        <v>2867.884</v>
      </c>
      <c r="Q8" s="5">
        <f t="shared" si="2"/>
        <v>10.100000000000001</v>
      </c>
      <c r="R8" s="8">
        <f t="shared" si="1"/>
        <v>28965.628400000005</v>
      </c>
      <c r="T8" s="41" t="s">
        <v>69</v>
      </c>
      <c r="U8" s="9">
        <f t="shared" si="0"/>
        <v>131.18963964193486</v>
      </c>
    </row>
    <row r="9" spans="2:21" x14ac:dyDescent="0.25">
      <c r="O9" s="41">
        <v>2</v>
      </c>
      <c r="P9" s="8">
        <f>E12</f>
        <v>2867.884</v>
      </c>
      <c r="Q9" s="5">
        <f>Q10+3.2</f>
        <v>6.9</v>
      </c>
      <c r="R9" s="8">
        <f t="shared" si="1"/>
        <v>19788.399600000001</v>
      </c>
      <c r="T9" s="41" t="s">
        <v>71</v>
      </c>
      <c r="U9" s="9">
        <f t="shared" si="0"/>
        <v>70.348067634081019</v>
      </c>
    </row>
    <row r="10" spans="2:21" x14ac:dyDescent="0.25">
      <c r="H10" s="105" t="s">
        <v>116</v>
      </c>
      <c r="I10" s="105"/>
      <c r="J10" s="105"/>
      <c r="K10" s="16">
        <f>K11*J15</f>
        <v>5.8500000000000005</v>
      </c>
      <c r="O10" s="41">
        <v>1</v>
      </c>
      <c r="P10" s="8">
        <f>E12</f>
        <v>2867.884</v>
      </c>
      <c r="Q10" s="5">
        <v>3.7</v>
      </c>
      <c r="R10" s="8">
        <f t="shared" si="1"/>
        <v>10611.1708</v>
      </c>
      <c r="T10" s="41" t="s">
        <v>74</v>
      </c>
      <c r="U10" s="10">
        <f>SUM(U4:U9)</f>
        <v>1355.0746240000001</v>
      </c>
    </row>
    <row r="11" spans="2:21" ht="17.25" x14ac:dyDescent="0.25">
      <c r="B11" s="115"/>
      <c r="C11" s="116"/>
      <c r="D11" s="40" t="s">
        <v>113</v>
      </c>
      <c r="E11" s="40" t="s">
        <v>114</v>
      </c>
      <c r="F11" s="40" t="s">
        <v>109</v>
      </c>
      <c r="H11" s="105" t="s">
        <v>72</v>
      </c>
      <c r="I11" s="105"/>
      <c r="J11" s="105"/>
      <c r="K11" s="18">
        <f>4.5*T19</f>
        <v>5.8500000000000005</v>
      </c>
      <c r="P11" s="105" t="s">
        <v>73</v>
      </c>
      <c r="Q11" s="105"/>
      <c r="R11" s="8">
        <f>SUM(R5:R10)</f>
        <v>204396.91900000002</v>
      </c>
    </row>
    <row r="12" spans="2:21" x14ac:dyDescent="0.25">
      <c r="B12" s="100" t="s">
        <v>110</v>
      </c>
      <c r="C12" s="102"/>
      <c r="D12" s="6">
        <v>286.78840000000002</v>
      </c>
      <c r="E12" s="3">
        <f>D12*F7</f>
        <v>2867.884</v>
      </c>
      <c r="F12" s="3">
        <f>E12/C5</f>
        <v>292.34291539245669</v>
      </c>
    </row>
    <row r="13" spans="2:21" x14ac:dyDescent="0.25">
      <c r="B13" s="90" t="s">
        <v>111</v>
      </c>
      <c r="C13" s="90"/>
      <c r="D13" s="6">
        <v>332.1</v>
      </c>
      <c r="E13" s="3">
        <f>D13*F8</f>
        <v>2988.9</v>
      </c>
      <c r="F13" s="3">
        <f>E13/C5</f>
        <v>304.67889908256882</v>
      </c>
      <c r="H13" s="119" t="s">
        <v>97</v>
      </c>
      <c r="I13" s="120"/>
      <c r="J13" s="121"/>
    </row>
    <row r="14" spans="2:21" x14ac:dyDescent="0.25">
      <c r="B14" s="90" t="s">
        <v>112</v>
      </c>
      <c r="C14" s="90"/>
      <c r="D14" s="14"/>
      <c r="E14" s="8">
        <f>E12*5+E13</f>
        <v>17328.32</v>
      </c>
      <c r="F14" s="8">
        <f>E14/C5</f>
        <v>1766.3934760448522</v>
      </c>
      <c r="H14" s="112" t="s">
        <v>75</v>
      </c>
      <c r="I14" s="114"/>
      <c r="J14" s="7"/>
    </row>
    <row r="15" spans="2:21" x14ac:dyDescent="0.25">
      <c r="H15" s="100" t="s">
        <v>76</v>
      </c>
      <c r="I15" s="102"/>
      <c r="J15" s="18">
        <v>1</v>
      </c>
    </row>
    <row r="16" spans="2:21" x14ac:dyDescent="0.25">
      <c r="B16" s="100" t="s">
        <v>107</v>
      </c>
      <c r="C16" s="101"/>
      <c r="D16" s="101"/>
      <c r="E16" s="102"/>
      <c r="F16" s="17">
        <f>3.2*5+3.7</f>
        <v>19.7</v>
      </c>
      <c r="H16" s="100" t="s">
        <v>77</v>
      </c>
      <c r="I16" s="102"/>
      <c r="J16" s="16">
        <v>0.8</v>
      </c>
      <c r="K16" t="s">
        <v>189</v>
      </c>
      <c r="M16" s="122" t="s">
        <v>79</v>
      </c>
      <c r="N16" s="122"/>
      <c r="O16" s="122"/>
      <c r="P16" s="122"/>
      <c r="Q16" s="122"/>
      <c r="R16" s="122"/>
      <c r="S16" s="122"/>
      <c r="T16" s="122"/>
    </row>
    <row r="17" spans="3:20" x14ac:dyDescent="0.25">
      <c r="M17" s="87" t="s">
        <v>83</v>
      </c>
      <c r="N17" s="87"/>
      <c r="O17" s="87"/>
      <c r="P17" s="87"/>
      <c r="Q17" s="87"/>
      <c r="R17" s="87"/>
      <c r="S17" s="87"/>
      <c r="T17" s="16">
        <v>1.1000000000000001</v>
      </c>
    </row>
    <row r="18" spans="3:20" x14ac:dyDescent="0.25">
      <c r="M18" s="87" t="s">
        <v>87</v>
      </c>
      <c r="N18" s="87"/>
      <c r="O18" s="87"/>
      <c r="P18" s="87"/>
      <c r="Q18" s="87"/>
      <c r="R18" s="87"/>
      <c r="S18" s="87"/>
      <c r="T18" s="18">
        <v>1.2</v>
      </c>
    </row>
    <row r="19" spans="3:20" x14ac:dyDescent="0.25">
      <c r="C19" s="122" t="s">
        <v>78</v>
      </c>
      <c r="D19" s="122"/>
      <c r="E19" s="122"/>
      <c r="F19" s="122"/>
      <c r="G19" s="122"/>
      <c r="H19" s="122"/>
      <c r="I19" s="122"/>
      <c r="J19" s="122"/>
      <c r="K19" s="122"/>
      <c r="M19" s="87" t="s">
        <v>90</v>
      </c>
      <c r="N19" s="87"/>
      <c r="O19" s="87"/>
      <c r="P19" s="87"/>
      <c r="Q19" s="87"/>
      <c r="R19" s="87"/>
      <c r="S19" s="87"/>
      <c r="T19" s="16">
        <v>1.3</v>
      </c>
    </row>
    <row r="20" spans="3:20" x14ac:dyDescent="0.25">
      <c r="C20" s="105" t="s">
        <v>80</v>
      </c>
      <c r="D20" s="105"/>
      <c r="E20" s="105"/>
      <c r="F20" s="105"/>
      <c r="G20" s="105"/>
      <c r="H20" s="105"/>
      <c r="I20" s="105"/>
      <c r="J20" s="21" t="s">
        <v>81</v>
      </c>
      <c r="K20" s="21" t="s">
        <v>82</v>
      </c>
      <c r="M20" s="87" t="s">
        <v>92</v>
      </c>
      <c r="N20" s="87"/>
      <c r="O20" s="87"/>
      <c r="P20" s="87"/>
      <c r="Q20" s="87"/>
      <c r="R20" s="87"/>
      <c r="S20" s="87"/>
      <c r="T20" s="18"/>
    </row>
    <row r="21" spans="3:20" x14ac:dyDescent="0.25">
      <c r="C21" s="87" t="s">
        <v>84</v>
      </c>
      <c r="D21" s="87"/>
      <c r="E21" s="87"/>
      <c r="F21" s="87"/>
      <c r="G21" s="87"/>
      <c r="H21" s="87"/>
      <c r="I21" s="87"/>
      <c r="J21" s="16" t="s">
        <v>85</v>
      </c>
      <c r="K21" s="16" t="s">
        <v>86</v>
      </c>
      <c r="M21" s="87" t="s">
        <v>94</v>
      </c>
      <c r="N21" s="87"/>
      <c r="O21" s="87"/>
      <c r="P21" s="87"/>
      <c r="Q21" s="87"/>
      <c r="R21" s="87"/>
      <c r="S21" s="87"/>
      <c r="T21" s="18">
        <v>1</v>
      </c>
    </row>
    <row r="22" spans="3:20" x14ac:dyDescent="0.25">
      <c r="C22" s="87" t="s">
        <v>88</v>
      </c>
      <c r="D22" s="87"/>
      <c r="E22" s="87"/>
      <c r="F22" s="87"/>
      <c r="G22" s="87"/>
      <c r="H22" s="87"/>
      <c r="I22" s="87"/>
      <c r="J22" s="16" t="s">
        <v>89</v>
      </c>
      <c r="K22" s="18">
        <v>3</v>
      </c>
      <c r="M22" s="87" t="s">
        <v>95</v>
      </c>
      <c r="N22" s="87"/>
      <c r="O22" s="87"/>
      <c r="P22" s="87"/>
      <c r="Q22" s="87"/>
      <c r="R22" s="87"/>
      <c r="S22" s="87"/>
      <c r="T22" s="18">
        <v>1.1000000000000001</v>
      </c>
    </row>
    <row r="23" spans="3:20" x14ac:dyDescent="0.25">
      <c r="C23" s="87" t="s">
        <v>91</v>
      </c>
      <c r="D23" s="87"/>
      <c r="E23" s="87"/>
      <c r="F23" s="87"/>
      <c r="G23" s="87"/>
      <c r="H23" s="87"/>
      <c r="I23" s="87"/>
      <c r="J23" s="18">
        <v>3</v>
      </c>
      <c r="K23" s="18">
        <v>2</v>
      </c>
      <c r="M23" s="87" t="s">
        <v>96</v>
      </c>
      <c r="N23" s="87"/>
      <c r="O23" s="87"/>
      <c r="P23" s="87"/>
      <c r="Q23" s="87"/>
      <c r="R23" s="87"/>
      <c r="S23" s="87"/>
      <c r="T23" s="18">
        <v>1.2</v>
      </c>
    </row>
    <row r="24" spans="3:20" x14ac:dyDescent="0.25">
      <c r="C24" s="87" t="s">
        <v>93</v>
      </c>
      <c r="D24" s="87"/>
      <c r="E24" s="87"/>
      <c r="F24" s="87"/>
      <c r="G24" s="87"/>
      <c r="H24" s="87"/>
      <c r="I24" s="87"/>
      <c r="J24" s="18">
        <v>2</v>
      </c>
      <c r="K24" s="18">
        <v>1.5</v>
      </c>
    </row>
  </sheetData>
  <mergeCells count="32">
    <mergeCell ref="C24:I24"/>
    <mergeCell ref="C21:I21"/>
    <mergeCell ref="M21:S21"/>
    <mergeCell ref="C22:I22"/>
    <mergeCell ref="M22:S22"/>
    <mergeCell ref="C23:I23"/>
    <mergeCell ref="M23:S23"/>
    <mergeCell ref="P11:Q11"/>
    <mergeCell ref="C20:I20"/>
    <mergeCell ref="M20:S20"/>
    <mergeCell ref="B13:C13"/>
    <mergeCell ref="H13:J13"/>
    <mergeCell ref="B14:C14"/>
    <mergeCell ref="H14:I14"/>
    <mergeCell ref="H15:I15"/>
    <mergeCell ref="B16:E16"/>
    <mergeCell ref="H16:I16"/>
    <mergeCell ref="M16:T16"/>
    <mergeCell ref="M17:S17"/>
    <mergeCell ref="M18:S18"/>
    <mergeCell ref="C19:K19"/>
    <mergeCell ref="M19:S19"/>
    <mergeCell ref="B12:C12"/>
    <mergeCell ref="H10:J10"/>
    <mergeCell ref="B11:C11"/>
    <mergeCell ref="H11:J11"/>
    <mergeCell ref="H3:J3"/>
    <mergeCell ref="H5:I5"/>
    <mergeCell ref="H6:I6"/>
    <mergeCell ref="C7:E7"/>
    <mergeCell ref="C8:E8"/>
    <mergeCell ref="H8:I8"/>
  </mergeCells>
  <pageMargins left="0.7" right="0.7" top="0.75" bottom="0.75" header="0.3" footer="0.3"/>
  <pageSetup paperSize="9" orientation="portrait" horizontalDpi="200" verticalDpi="20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71"/>
  <sheetViews>
    <sheetView topLeftCell="AL1" workbookViewId="0">
      <selection activeCell="AL28" sqref="AL28"/>
    </sheetView>
  </sheetViews>
  <sheetFormatPr defaultRowHeight="15" x14ac:dyDescent="0.25"/>
  <cols>
    <col min="1" max="1" width="3.42578125" customWidth="1"/>
    <col min="3" max="3" width="9.140625" customWidth="1"/>
    <col min="27" max="27" width="9.140625" customWidth="1"/>
    <col min="28" max="28" width="10" customWidth="1"/>
    <col min="29" max="29" width="10.85546875" customWidth="1"/>
    <col min="34" max="34" width="10.7109375" customWidth="1"/>
  </cols>
  <sheetData>
    <row r="1" spans="1:57" ht="18.75" customHeight="1" x14ac:dyDescent="0.25">
      <c r="A1" s="56"/>
      <c r="B1" s="144" t="s">
        <v>219</v>
      </c>
      <c r="C1" s="123"/>
      <c r="D1" s="123"/>
      <c r="E1" s="123"/>
      <c r="F1" s="123"/>
      <c r="G1" s="123"/>
      <c r="H1" s="123"/>
      <c r="I1" s="123"/>
      <c r="J1" s="123"/>
      <c r="K1" s="123"/>
      <c r="L1" s="123"/>
      <c r="M1" s="123"/>
      <c r="N1" s="123"/>
      <c r="O1" s="123"/>
      <c r="P1" s="123"/>
      <c r="Q1" s="123"/>
      <c r="R1" s="123"/>
      <c r="S1" s="123"/>
      <c r="T1" s="123"/>
      <c r="U1" s="123"/>
      <c r="V1" s="123"/>
      <c r="W1" s="123"/>
      <c r="X1" s="123"/>
      <c r="Y1" s="145"/>
      <c r="AB1" s="56"/>
      <c r="AC1" s="123" t="s">
        <v>277</v>
      </c>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row>
    <row r="2" spans="1:57" ht="15" customHeight="1" x14ac:dyDescent="0.25">
      <c r="A2" s="57"/>
      <c r="B2" s="146"/>
      <c r="C2" s="124"/>
      <c r="D2" s="124"/>
      <c r="E2" s="124"/>
      <c r="F2" s="124"/>
      <c r="G2" s="124"/>
      <c r="H2" s="124"/>
      <c r="I2" s="124"/>
      <c r="J2" s="124"/>
      <c r="K2" s="124"/>
      <c r="L2" s="124"/>
      <c r="M2" s="124"/>
      <c r="N2" s="124"/>
      <c r="O2" s="124"/>
      <c r="P2" s="124"/>
      <c r="Q2" s="124"/>
      <c r="R2" s="124"/>
      <c r="S2" s="124"/>
      <c r="T2" s="124"/>
      <c r="U2" s="124"/>
      <c r="V2" s="124"/>
      <c r="W2" s="124"/>
      <c r="X2" s="124"/>
      <c r="Y2" s="147"/>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row>
    <row r="3" spans="1:57" ht="15" customHeight="1" x14ac:dyDescent="0.25">
      <c r="A3" s="57"/>
      <c r="B3" s="138" t="s">
        <v>256</v>
      </c>
      <c r="C3" s="139"/>
      <c r="D3" s="139"/>
      <c r="E3" s="139"/>
      <c r="F3" s="139"/>
      <c r="G3" s="139"/>
      <c r="H3" s="139"/>
      <c r="I3" s="139"/>
      <c r="J3" s="139"/>
      <c r="K3" s="139"/>
      <c r="L3" s="139"/>
      <c r="M3" s="139"/>
      <c r="N3" s="139"/>
      <c r="O3" s="139"/>
      <c r="P3" s="139"/>
      <c r="Q3" s="139"/>
      <c r="R3" s="139"/>
      <c r="S3" s="139"/>
      <c r="T3" s="139"/>
      <c r="U3" s="139"/>
      <c r="V3" s="139"/>
      <c r="W3" s="139"/>
      <c r="X3" s="139"/>
      <c r="Y3" s="140"/>
      <c r="AC3" s="127" t="s">
        <v>257</v>
      </c>
      <c r="AD3" s="128"/>
      <c r="AE3" s="128"/>
      <c r="AF3" s="129"/>
      <c r="AG3" s="78"/>
      <c r="AH3" s="127" t="s">
        <v>258</v>
      </c>
      <c r="AI3" s="128"/>
      <c r="AJ3" s="128"/>
      <c r="AK3" s="129"/>
      <c r="AL3" s="78"/>
      <c r="AM3" s="127" t="s">
        <v>259</v>
      </c>
      <c r="AN3" s="128"/>
      <c r="AO3" s="128"/>
      <c r="AP3" s="129"/>
      <c r="AQ3" s="78"/>
      <c r="AR3" s="127" t="s">
        <v>260</v>
      </c>
      <c r="AS3" s="128"/>
      <c r="AT3" s="128"/>
      <c r="AU3" s="129"/>
      <c r="AV3" s="78"/>
      <c r="AW3" s="127" t="s">
        <v>261</v>
      </c>
      <c r="AX3" s="128"/>
      <c r="AY3" s="128"/>
      <c r="AZ3" s="129"/>
      <c r="BA3" s="78"/>
      <c r="BB3" s="127" t="s">
        <v>262</v>
      </c>
      <c r="BC3" s="128"/>
      <c r="BD3" s="128"/>
      <c r="BE3" s="129"/>
    </row>
    <row r="4" spans="1:57" ht="15" customHeight="1" x14ac:dyDescent="0.25">
      <c r="A4" s="57"/>
      <c r="B4" s="141"/>
      <c r="C4" s="142"/>
      <c r="D4" s="142"/>
      <c r="E4" s="142"/>
      <c r="F4" s="142"/>
      <c r="G4" s="142"/>
      <c r="H4" s="142"/>
      <c r="I4" s="142"/>
      <c r="J4" s="142"/>
      <c r="K4" s="142"/>
      <c r="L4" s="142"/>
      <c r="M4" s="142"/>
      <c r="N4" s="142"/>
      <c r="O4" s="142"/>
      <c r="P4" s="142"/>
      <c r="Q4" s="142"/>
      <c r="R4" s="142"/>
      <c r="S4" s="142"/>
      <c r="T4" s="142"/>
      <c r="U4" s="142"/>
      <c r="V4" s="142"/>
      <c r="W4" s="142"/>
      <c r="X4" s="142"/>
      <c r="Y4" s="143"/>
      <c r="AC4" s="130"/>
      <c r="AD4" s="131"/>
      <c r="AE4" s="131"/>
      <c r="AF4" s="132"/>
      <c r="AG4" s="78"/>
      <c r="AH4" s="130"/>
      <c r="AI4" s="131"/>
      <c r="AJ4" s="131"/>
      <c r="AK4" s="132"/>
      <c r="AL4" s="78"/>
      <c r="AM4" s="130"/>
      <c r="AN4" s="131"/>
      <c r="AO4" s="131"/>
      <c r="AP4" s="132"/>
      <c r="AQ4" s="78"/>
      <c r="AR4" s="130"/>
      <c r="AS4" s="131"/>
      <c r="AT4" s="131"/>
      <c r="AU4" s="132"/>
      <c r="AV4" s="78"/>
      <c r="AW4" s="130"/>
      <c r="AX4" s="131"/>
      <c r="AY4" s="131"/>
      <c r="AZ4" s="132"/>
      <c r="BA4" s="78"/>
      <c r="BB4" s="130"/>
      <c r="BC4" s="131"/>
      <c r="BD4" s="131"/>
      <c r="BE4" s="132"/>
    </row>
    <row r="5" spans="1:57" ht="18.75" x14ac:dyDescent="0.25">
      <c r="A5" s="58"/>
      <c r="B5" s="135" t="s">
        <v>123</v>
      </c>
      <c r="C5" s="136"/>
      <c r="D5" s="136"/>
      <c r="E5" s="137"/>
      <c r="G5" s="135" t="s">
        <v>126</v>
      </c>
      <c r="H5" s="136"/>
      <c r="I5" s="136"/>
      <c r="J5" s="137"/>
      <c r="L5" s="135" t="s">
        <v>128</v>
      </c>
      <c r="M5" s="136"/>
      <c r="N5" s="136"/>
      <c r="O5" s="137"/>
      <c r="Q5" s="135" t="s">
        <v>208</v>
      </c>
      <c r="R5" s="136"/>
      <c r="S5" s="136"/>
      <c r="T5" s="137"/>
      <c r="V5" s="135" t="s">
        <v>124</v>
      </c>
      <c r="W5" s="136"/>
      <c r="X5" s="136"/>
      <c r="Y5" s="137"/>
      <c r="AC5" s="135" t="s">
        <v>210</v>
      </c>
      <c r="AD5" s="136"/>
      <c r="AE5" s="136"/>
      <c r="AF5" s="137"/>
      <c r="AH5" s="135" t="s">
        <v>212</v>
      </c>
      <c r="AI5" s="136"/>
      <c r="AJ5" s="136"/>
      <c r="AK5" s="137"/>
      <c r="AM5" s="135" t="s">
        <v>214</v>
      </c>
      <c r="AN5" s="136"/>
      <c r="AO5" s="136"/>
      <c r="AP5" s="137"/>
      <c r="AR5" s="135" t="s">
        <v>216</v>
      </c>
      <c r="AS5" s="136"/>
      <c r="AT5" s="136"/>
      <c r="AU5" s="137"/>
      <c r="AW5" s="135" t="s">
        <v>131</v>
      </c>
      <c r="AX5" s="136"/>
      <c r="AY5" s="136"/>
      <c r="AZ5" s="137"/>
      <c r="BB5" s="135" t="s">
        <v>132</v>
      </c>
      <c r="BC5" s="136"/>
      <c r="BD5" s="136"/>
      <c r="BE5" s="137"/>
    </row>
    <row r="6" spans="1:57" ht="18" customHeight="1" x14ac:dyDescent="0.25">
      <c r="A6" s="12"/>
      <c r="B6" s="42"/>
      <c r="C6" s="41" t="s">
        <v>143</v>
      </c>
      <c r="D6" s="41" t="s">
        <v>144</v>
      </c>
      <c r="E6" s="41" t="s">
        <v>205</v>
      </c>
      <c r="G6" s="37"/>
      <c r="H6" s="38" t="s">
        <v>143</v>
      </c>
      <c r="I6" s="38" t="s">
        <v>144</v>
      </c>
      <c r="J6" s="38" t="s">
        <v>205</v>
      </c>
      <c r="L6" s="37"/>
      <c r="M6" s="38" t="s">
        <v>143</v>
      </c>
      <c r="N6" s="38" t="s">
        <v>144</v>
      </c>
      <c r="O6" s="38" t="s">
        <v>205</v>
      </c>
      <c r="Q6" s="37"/>
      <c r="R6" s="38" t="s">
        <v>143</v>
      </c>
      <c r="S6" s="38" t="s">
        <v>144</v>
      </c>
      <c r="T6" s="38" t="s">
        <v>205</v>
      </c>
      <c r="V6" s="37"/>
      <c r="W6" s="38" t="s">
        <v>143</v>
      </c>
      <c r="X6" s="38" t="s">
        <v>144</v>
      </c>
      <c r="Y6" s="38" t="s">
        <v>205</v>
      </c>
      <c r="AC6" s="77"/>
      <c r="AD6" s="76" t="s">
        <v>143</v>
      </c>
      <c r="AE6" s="76" t="s">
        <v>144</v>
      </c>
      <c r="AF6" s="76" t="s">
        <v>205</v>
      </c>
      <c r="AH6" s="67"/>
      <c r="AI6" s="69" t="s">
        <v>143</v>
      </c>
      <c r="AJ6" s="69" t="s">
        <v>144</v>
      </c>
      <c r="AK6" s="69" t="s">
        <v>205</v>
      </c>
      <c r="AM6" s="67"/>
      <c r="AN6" s="69" t="s">
        <v>143</v>
      </c>
      <c r="AO6" s="69" t="s">
        <v>144</v>
      </c>
      <c r="AP6" s="69" t="s">
        <v>205</v>
      </c>
      <c r="AR6" s="67"/>
      <c r="AS6" s="69" t="s">
        <v>143</v>
      </c>
      <c r="AT6" s="69" t="s">
        <v>144</v>
      </c>
      <c r="AU6" s="69" t="s">
        <v>205</v>
      </c>
      <c r="AW6" s="67"/>
      <c r="AX6" s="69" t="s">
        <v>143</v>
      </c>
      <c r="AY6" s="69" t="s">
        <v>144</v>
      </c>
      <c r="AZ6" s="69" t="s">
        <v>205</v>
      </c>
      <c r="BB6" s="67"/>
      <c r="BC6" s="69" t="s">
        <v>143</v>
      </c>
      <c r="BD6" s="69" t="s">
        <v>144</v>
      </c>
      <c r="BE6" s="69" t="s">
        <v>205</v>
      </c>
    </row>
    <row r="7" spans="1:57" ht="15" customHeight="1" x14ac:dyDescent="0.25">
      <c r="A7" s="12"/>
      <c r="B7" s="42" t="s">
        <v>145</v>
      </c>
      <c r="C7" s="5">
        <f>(5.2/2)</f>
        <v>2.6</v>
      </c>
      <c r="D7" s="5">
        <f>'Carichi unitari'!$P$25</f>
        <v>10.056335000000001</v>
      </c>
      <c r="E7" s="5">
        <f>'Carichi unitari'!$M$25</f>
        <v>6.0279500000000006</v>
      </c>
      <c r="G7" s="37" t="s">
        <v>145</v>
      </c>
      <c r="H7" s="5">
        <f>(5.2/2)</f>
        <v>2.6</v>
      </c>
      <c r="I7" s="5">
        <f>'Carichi unitari'!$P$25</f>
        <v>10.056335000000001</v>
      </c>
      <c r="J7" s="5">
        <f>'Carichi unitari'!$M$25</f>
        <v>6.0279500000000006</v>
      </c>
      <c r="L7" s="37" t="s">
        <v>145</v>
      </c>
      <c r="M7" s="5">
        <f>(5.2/2)</f>
        <v>2.6</v>
      </c>
      <c r="N7" s="5">
        <f>'Carichi unitari'!$P$25</f>
        <v>10.056335000000001</v>
      </c>
      <c r="O7" s="5">
        <f>'Carichi unitari'!$M$25</f>
        <v>6.0279500000000006</v>
      </c>
      <c r="Q7" s="37" t="s">
        <v>145</v>
      </c>
      <c r="R7" s="5">
        <f>(5.2/2)</f>
        <v>2.6</v>
      </c>
      <c r="S7" s="5">
        <f>'Carichi unitari'!$P$25</f>
        <v>10.056335000000001</v>
      </c>
      <c r="T7" s="5">
        <f>'Carichi unitari'!$M$25</f>
        <v>6.0279500000000006</v>
      </c>
      <c r="V7" s="37" t="s">
        <v>145</v>
      </c>
      <c r="W7" s="5">
        <f>(5.2/2)</f>
        <v>2.6</v>
      </c>
      <c r="X7" s="5">
        <f>'Carichi unitari'!$P$25</f>
        <v>10.056335000000001</v>
      </c>
      <c r="Y7" s="5">
        <f>'Carichi unitari'!$M$25</f>
        <v>6.0279500000000006</v>
      </c>
      <c r="AC7" s="77" t="s">
        <v>145</v>
      </c>
      <c r="AD7" s="5">
        <v>0.5</v>
      </c>
      <c r="AE7" s="5">
        <f>'Carichi unitari'!$P$25</f>
        <v>10.056335000000001</v>
      </c>
      <c r="AF7" s="5">
        <f>'Carichi unitari'!$M$25</f>
        <v>6.0279500000000006</v>
      </c>
      <c r="AH7" s="67" t="s">
        <v>145</v>
      </c>
      <c r="AI7" s="5">
        <v>1</v>
      </c>
      <c r="AJ7" s="5">
        <f>'Carichi unitari'!$P$25</f>
        <v>10.056335000000001</v>
      </c>
      <c r="AK7" s="5">
        <f>'Carichi unitari'!$M$25</f>
        <v>6.0279500000000006</v>
      </c>
      <c r="AM7" s="67" t="s">
        <v>145</v>
      </c>
      <c r="AN7" s="5">
        <v>0.5</v>
      </c>
      <c r="AO7" s="5">
        <f>'Carichi unitari'!$P$25</f>
        <v>10.056335000000001</v>
      </c>
      <c r="AP7" s="5">
        <f>'Carichi unitari'!$M$25</f>
        <v>6.0279500000000006</v>
      </c>
      <c r="AR7" s="67" t="s">
        <v>145</v>
      </c>
      <c r="AS7" s="5">
        <v>0.5</v>
      </c>
      <c r="AT7" s="5">
        <f>'Carichi unitari'!$P$25</f>
        <v>10.056335000000001</v>
      </c>
      <c r="AU7" s="5">
        <f>'Carichi unitari'!$M$25</f>
        <v>6.0279500000000006</v>
      </c>
      <c r="AW7" s="67" t="s">
        <v>145</v>
      </c>
      <c r="AX7" s="5">
        <v>1</v>
      </c>
      <c r="AY7" s="5">
        <f>'Carichi unitari'!$P$25</f>
        <v>10.056335000000001</v>
      </c>
      <c r="AZ7" s="5">
        <f>'Carichi unitari'!$M$25</f>
        <v>6.0279500000000006</v>
      </c>
      <c r="BB7" s="67" t="s">
        <v>145</v>
      </c>
      <c r="BC7" s="5">
        <v>0.5</v>
      </c>
      <c r="BD7" s="5">
        <f>'Carichi unitari'!$P$25</f>
        <v>10.056335000000001</v>
      </c>
      <c r="BE7" s="5">
        <f>'Carichi unitari'!$M$25</f>
        <v>6.0279500000000006</v>
      </c>
    </row>
    <row r="8" spans="1:57" ht="15" customHeight="1" x14ac:dyDescent="0.25">
      <c r="A8" s="12"/>
      <c r="B8" s="42" t="s">
        <v>146</v>
      </c>
      <c r="C8" s="5">
        <v>0</v>
      </c>
      <c r="D8" s="5">
        <f>'Carichi unitari'!$P$27</f>
        <v>10.560335</v>
      </c>
      <c r="E8" s="5">
        <f>'Carichi unitari'!$M$27</f>
        <v>5.9079499999999996</v>
      </c>
      <c r="G8" s="37" t="s">
        <v>146</v>
      </c>
      <c r="H8" s="5">
        <v>1.5</v>
      </c>
      <c r="I8" s="5">
        <f>'Carichi unitari'!$P$27</f>
        <v>10.560335</v>
      </c>
      <c r="J8" s="5">
        <f>'Carichi unitari'!$M$27</f>
        <v>5.9079499999999996</v>
      </c>
      <c r="L8" s="37" t="s">
        <v>146</v>
      </c>
      <c r="M8" s="5">
        <v>1.5</v>
      </c>
      <c r="N8" s="5">
        <f>'Carichi unitari'!$P$27</f>
        <v>10.560335</v>
      </c>
      <c r="O8" s="5">
        <f>'Carichi unitari'!$M$27</f>
        <v>5.9079499999999996</v>
      </c>
      <c r="Q8" s="37" t="s">
        <v>146</v>
      </c>
      <c r="R8" s="5">
        <v>1.5</v>
      </c>
      <c r="S8" s="5">
        <f>'Carichi unitari'!$P$27</f>
        <v>10.560335</v>
      </c>
      <c r="T8" s="5">
        <f>'Carichi unitari'!$M$27</f>
        <v>5.9079499999999996</v>
      </c>
      <c r="V8" s="37" t="s">
        <v>146</v>
      </c>
      <c r="W8" s="5">
        <v>0</v>
      </c>
      <c r="X8" s="5">
        <f>'Carichi unitari'!$P$27</f>
        <v>10.560335</v>
      </c>
      <c r="Y8" s="5">
        <f>'Carichi unitari'!$M$27</f>
        <v>5.9079499999999996</v>
      </c>
      <c r="AC8" s="77" t="s">
        <v>146</v>
      </c>
      <c r="AD8" s="5">
        <v>0</v>
      </c>
      <c r="AE8" s="5">
        <f>'Carichi unitari'!$P$27</f>
        <v>10.560335</v>
      </c>
      <c r="AF8" s="5">
        <f>'Carichi unitari'!$M$27</f>
        <v>5.9079499999999996</v>
      </c>
      <c r="AH8" s="67" t="s">
        <v>146</v>
      </c>
      <c r="AI8" s="5">
        <v>0</v>
      </c>
      <c r="AJ8" s="5">
        <f>'Carichi unitari'!$P$27</f>
        <v>10.560335</v>
      </c>
      <c r="AK8" s="5">
        <f>'Carichi unitari'!$M$27</f>
        <v>5.9079499999999996</v>
      </c>
      <c r="AM8" s="67" t="s">
        <v>146</v>
      </c>
      <c r="AN8" s="5">
        <v>0</v>
      </c>
      <c r="AO8" s="5">
        <f>'Carichi unitari'!$P$27</f>
        <v>10.560335</v>
      </c>
      <c r="AP8" s="5">
        <f>'Carichi unitari'!$M$27</f>
        <v>5.9079499999999996</v>
      </c>
      <c r="AR8" s="67" t="s">
        <v>146</v>
      </c>
      <c r="AS8" s="5">
        <v>0</v>
      </c>
      <c r="AT8" s="5">
        <f>'Carichi unitari'!$P$27</f>
        <v>10.560335</v>
      </c>
      <c r="AU8" s="5">
        <f>'Carichi unitari'!$M$27</f>
        <v>5.9079499999999996</v>
      </c>
      <c r="AW8" s="67" t="s">
        <v>146</v>
      </c>
      <c r="AX8" s="5">
        <v>0</v>
      </c>
      <c r="AY8" s="5">
        <f>'Carichi unitari'!$P$27</f>
        <v>10.560335</v>
      </c>
      <c r="AZ8" s="5">
        <f>'Carichi unitari'!$M$27</f>
        <v>5.9079499999999996</v>
      </c>
      <c r="BB8" s="67" t="s">
        <v>146</v>
      </c>
      <c r="BC8" s="5">
        <v>0</v>
      </c>
      <c r="BD8" s="5">
        <f>'Carichi unitari'!$P$27</f>
        <v>10.560335</v>
      </c>
      <c r="BE8" s="5">
        <f>'Carichi unitari'!$M$27</f>
        <v>5.9079499999999996</v>
      </c>
    </row>
    <row r="9" spans="1:57" ht="15" customHeight="1" x14ac:dyDescent="0.25">
      <c r="A9" s="12"/>
      <c r="B9" s="42" t="s">
        <v>148</v>
      </c>
      <c r="C9" s="5">
        <v>0</v>
      </c>
      <c r="D9" s="5">
        <f>'Carichi unitari'!$P$28</f>
        <v>17.240725948587251</v>
      </c>
      <c r="E9" s="5">
        <f>'Carichi unitari'!$M$28</f>
        <v>11.04671226814404</v>
      </c>
      <c r="G9" s="37" t="s">
        <v>148</v>
      </c>
      <c r="H9" s="5">
        <v>0</v>
      </c>
      <c r="I9" s="5">
        <f>'Carichi unitari'!$P$28</f>
        <v>17.240725948587251</v>
      </c>
      <c r="J9" s="5">
        <f>'Carichi unitari'!$M$28</f>
        <v>11.04671226814404</v>
      </c>
      <c r="L9" s="37" t="s">
        <v>148</v>
      </c>
      <c r="M9" s="5">
        <v>0</v>
      </c>
      <c r="N9" s="5">
        <f>'Carichi unitari'!$P$28</f>
        <v>17.240725948587251</v>
      </c>
      <c r="O9" s="5">
        <f>'Carichi unitari'!$M$28</f>
        <v>11.04671226814404</v>
      </c>
      <c r="Q9" s="37" t="s">
        <v>148</v>
      </c>
      <c r="R9" s="5">
        <v>0</v>
      </c>
      <c r="S9" s="5">
        <f>'Carichi unitari'!$P$28</f>
        <v>17.240725948587251</v>
      </c>
      <c r="T9" s="5">
        <f>'Carichi unitari'!$M$28</f>
        <v>11.04671226814404</v>
      </c>
      <c r="V9" s="37" t="s">
        <v>148</v>
      </c>
      <c r="W9" s="5">
        <v>0</v>
      </c>
      <c r="X9" s="5">
        <f>'Carichi unitari'!$P$28</f>
        <v>17.240725948587251</v>
      </c>
      <c r="Y9" s="5">
        <f>'Carichi unitari'!$M$28</f>
        <v>11.04671226814404</v>
      </c>
      <c r="AC9" s="77" t="s">
        <v>148</v>
      </c>
      <c r="AD9" s="5">
        <v>0</v>
      </c>
      <c r="AE9" s="5">
        <f>'Carichi unitari'!$P$28</f>
        <v>17.240725948587251</v>
      </c>
      <c r="AF9" s="5">
        <f>'Carichi unitari'!$M$28</f>
        <v>11.04671226814404</v>
      </c>
      <c r="AH9" s="67" t="s">
        <v>148</v>
      </c>
      <c r="AI9" s="5">
        <v>0</v>
      </c>
      <c r="AJ9" s="5">
        <f>'Carichi unitari'!$P$28</f>
        <v>17.240725948587251</v>
      </c>
      <c r="AK9" s="5">
        <f>'Carichi unitari'!$M$28</f>
        <v>11.04671226814404</v>
      </c>
      <c r="AM9" s="67" t="s">
        <v>148</v>
      </c>
      <c r="AN9" s="5">
        <f>(4.2/2)</f>
        <v>2.1</v>
      </c>
      <c r="AO9" s="5">
        <f>'Carichi unitari'!$P$28</f>
        <v>17.240725948587251</v>
      </c>
      <c r="AP9" s="5">
        <f>'Carichi unitari'!$M$28</f>
        <v>11.04671226814404</v>
      </c>
      <c r="AR9" s="67" t="s">
        <v>148</v>
      </c>
      <c r="AS9" s="5">
        <f>(4.2/2)</f>
        <v>2.1</v>
      </c>
      <c r="AT9" s="5">
        <f>'Carichi unitari'!$P$28</f>
        <v>17.240725948587251</v>
      </c>
      <c r="AU9" s="5">
        <f>'Carichi unitari'!$M$28</f>
        <v>11.04671226814404</v>
      </c>
      <c r="AW9" s="67" t="s">
        <v>148</v>
      </c>
      <c r="AX9" s="5">
        <v>0</v>
      </c>
      <c r="AY9" s="5">
        <f>'Carichi unitari'!$P$28</f>
        <v>17.240725948587251</v>
      </c>
      <c r="AZ9" s="5">
        <f>'Carichi unitari'!$M$28</f>
        <v>11.04671226814404</v>
      </c>
      <c r="BB9" s="67" t="s">
        <v>148</v>
      </c>
      <c r="BC9" s="5">
        <v>0</v>
      </c>
      <c r="BD9" s="5">
        <f>'Carichi unitari'!$P$28</f>
        <v>17.240725948587251</v>
      </c>
      <c r="BE9" s="5">
        <f>'Carichi unitari'!$M$28</f>
        <v>11.04671226814404</v>
      </c>
    </row>
    <row r="10" spans="1:57" ht="15" customHeight="1" x14ac:dyDescent="0.25">
      <c r="A10" s="12"/>
      <c r="B10" s="88" t="s">
        <v>149</v>
      </c>
      <c r="C10" s="89"/>
      <c r="D10" s="5">
        <v>7.8</v>
      </c>
      <c r="E10" s="5">
        <v>6</v>
      </c>
      <c r="G10" s="88" t="s">
        <v>149</v>
      </c>
      <c r="H10" s="89"/>
      <c r="I10" s="5">
        <v>7.8</v>
      </c>
      <c r="J10" s="5">
        <v>6</v>
      </c>
      <c r="L10" s="88" t="s">
        <v>149</v>
      </c>
      <c r="M10" s="89"/>
      <c r="N10" s="5">
        <v>7.8</v>
      </c>
      <c r="O10" s="5">
        <v>6</v>
      </c>
      <c r="Q10" s="88" t="s">
        <v>149</v>
      </c>
      <c r="R10" s="89"/>
      <c r="S10" s="5">
        <v>7.8</v>
      </c>
      <c r="T10" s="5">
        <v>6</v>
      </c>
      <c r="V10" s="88" t="s">
        <v>149</v>
      </c>
      <c r="W10" s="89"/>
      <c r="X10" s="5">
        <v>7.8</v>
      </c>
      <c r="Y10" s="5">
        <v>6</v>
      </c>
      <c r="AC10" s="88" t="s">
        <v>149</v>
      </c>
      <c r="AD10" s="89"/>
      <c r="AE10" s="5">
        <v>7.8</v>
      </c>
      <c r="AF10" s="5">
        <v>6</v>
      </c>
      <c r="AH10" s="88" t="s">
        <v>149</v>
      </c>
      <c r="AI10" s="89"/>
      <c r="AJ10" s="5">
        <v>0</v>
      </c>
      <c r="AK10" s="5">
        <v>0</v>
      </c>
      <c r="AM10" s="88" t="s">
        <v>149</v>
      </c>
      <c r="AN10" s="89"/>
      <c r="AO10" s="5">
        <v>7.8</v>
      </c>
      <c r="AP10" s="5">
        <v>6</v>
      </c>
      <c r="AR10" s="88" t="s">
        <v>149</v>
      </c>
      <c r="AS10" s="89"/>
      <c r="AT10" s="5">
        <v>7.8</v>
      </c>
      <c r="AU10" s="5">
        <v>6</v>
      </c>
      <c r="AW10" s="88" t="s">
        <v>149</v>
      </c>
      <c r="AX10" s="89"/>
      <c r="AY10" s="5">
        <v>0</v>
      </c>
      <c r="AZ10" s="5">
        <v>0</v>
      </c>
      <c r="BB10" s="88" t="s">
        <v>149</v>
      </c>
      <c r="BC10" s="89"/>
      <c r="BD10" s="5">
        <v>7.8</v>
      </c>
      <c r="BE10" s="5">
        <v>6</v>
      </c>
    </row>
    <row r="11" spans="1:57" ht="15" customHeight="1" x14ac:dyDescent="0.25">
      <c r="A11" s="12"/>
      <c r="B11" s="133"/>
      <c r="C11" s="134"/>
      <c r="D11" s="5">
        <f>C7*D7+C8*D8+C9*D9+D10</f>
        <v>33.946471000000003</v>
      </c>
      <c r="E11" s="5">
        <f>C7*E7+C8*E8+C9*E9+E10</f>
        <v>21.672670000000004</v>
      </c>
      <c r="G11" s="133"/>
      <c r="H11" s="134"/>
      <c r="I11" s="5">
        <f>H7*I7+H8*I8+H9*I9+I10</f>
        <v>49.786973500000002</v>
      </c>
      <c r="J11" s="5">
        <f>H7*J7+H8*J8+H9*J9+J10</f>
        <v>30.534595000000003</v>
      </c>
      <c r="L11" s="133"/>
      <c r="M11" s="134"/>
      <c r="N11" s="5">
        <f>M7*N7+M8*N8+M9*N9+N10</f>
        <v>49.786973500000002</v>
      </c>
      <c r="O11" s="5">
        <f>M7*O7+M8*O8+M9*O9+O10</f>
        <v>30.534595000000003</v>
      </c>
      <c r="Q11" s="133"/>
      <c r="R11" s="134"/>
      <c r="S11" s="5">
        <f>R7*S7+R8*S8+R9*S9+S10</f>
        <v>49.786973500000002</v>
      </c>
      <c r="T11" s="5">
        <f>R7*T7+R8*T8+R9*T9+T10</f>
        <v>30.534595000000003</v>
      </c>
      <c r="V11" s="133"/>
      <c r="W11" s="134"/>
      <c r="X11" s="5">
        <f>W7*X7+W8*X8+W9*X9+X10</f>
        <v>33.946471000000003</v>
      </c>
      <c r="Y11" s="5">
        <f>W7*Y7+W8*Y8+W9*Y9+Y10</f>
        <v>21.672670000000004</v>
      </c>
      <c r="AC11" s="133"/>
      <c r="AD11" s="134"/>
      <c r="AE11" s="5">
        <f>AD7*AE7+AD8*AE8+AD9*AE9+AE10</f>
        <v>12.828167499999999</v>
      </c>
      <c r="AF11" s="5">
        <f>AD7*AF7+AD8*AF8+AD9*AF9+AF10</f>
        <v>9.0139750000000003</v>
      </c>
      <c r="AH11" s="133"/>
      <c r="AI11" s="134"/>
      <c r="AJ11" s="5">
        <f>AI7*AJ7+AI8*AJ8+AI9*AJ9+AJ10</f>
        <v>10.056335000000001</v>
      </c>
      <c r="AK11" s="5">
        <f>AI7*AK7+AI8*AK8+AI9*AK9+AK10</f>
        <v>6.0279500000000006</v>
      </c>
      <c r="AM11" s="133"/>
      <c r="AN11" s="134"/>
      <c r="AO11" s="5">
        <f>AN7*AO7+AN8*AO8+AN9*AO9+AO10</f>
        <v>49.033691992033226</v>
      </c>
      <c r="AP11" s="5">
        <f>AN7*AP7+AN8*AP8+AN9*AP9+AP10</f>
        <v>32.212070763102481</v>
      </c>
      <c r="AR11" s="133"/>
      <c r="AS11" s="134"/>
      <c r="AT11" s="5">
        <f>AS7*AT7+AS8*AT8+AS9*AT9+AT10</f>
        <v>49.033691992033226</v>
      </c>
      <c r="AU11" s="5">
        <f>AS7*AU7+AS8*AU8+AS9*AU9+AU10</f>
        <v>32.212070763102481</v>
      </c>
      <c r="AW11" s="133"/>
      <c r="AX11" s="134"/>
      <c r="AY11" s="5">
        <f>AX7*AY7+AX8*AY8+AX9*AY9+AY10</f>
        <v>10.056335000000001</v>
      </c>
      <c r="AZ11" s="5">
        <f>AX7*AZ7+AX8*AZ8+AX9*AZ9+AZ10</f>
        <v>6.0279500000000006</v>
      </c>
      <c r="BB11" s="133"/>
      <c r="BC11" s="134"/>
      <c r="BD11" s="5">
        <f>BC7*BD7+BC8*BD8+BC9*BD9+BD10</f>
        <v>12.828167499999999</v>
      </c>
      <c r="BE11" s="5">
        <f>BC7*BE7+BC8*BE8+BC9*BE9+BE10</f>
        <v>9.0139750000000003</v>
      </c>
    </row>
    <row r="12" spans="1:57" ht="15" customHeight="1" x14ac:dyDescent="0.25">
      <c r="A12" s="12"/>
      <c r="B12" s="100" t="s">
        <v>204</v>
      </c>
      <c r="C12" s="102"/>
      <c r="D12" s="5">
        <f>(0.3*0.6*1*25)-0.3*2.8</f>
        <v>3.66</v>
      </c>
      <c r="E12" s="5">
        <f>(0.3*0.6*1*25)-0.3*2.8</f>
        <v>3.66</v>
      </c>
      <c r="G12" s="100" t="s">
        <v>204</v>
      </c>
      <c r="H12" s="102"/>
      <c r="I12" s="5">
        <f>(0.3*0.6*1*25)-0.3*2.8</f>
        <v>3.66</v>
      </c>
      <c r="J12" s="5">
        <f>(0.3*0.6*1*25)-0.3*2.8</f>
        <v>3.66</v>
      </c>
      <c r="L12" s="100" t="s">
        <v>204</v>
      </c>
      <c r="M12" s="102"/>
      <c r="N12" s="5">
        <f>(0.3*0.6*1*25)-0.3*2.8</f>
        <v>3.66</v>
      </c>
      <c r="O12" s="5">
        <f>(0.3*0.6*1*25)-0.3*2.8</f>
        <v>3.66</v>
      </c>
      <c r="Q12" s="100" t="s">
        <v>204</v>
      </c>
      <c r="R12" s="102"/>
      <c r="S12" s="5">
        <f>(0.3*0.6*1*25)-0.3*2.8</f>
        <v>3.66</v>
      </c>
      <c r="T12" s="5">
        <f>(0.3*0.6*1*25)-0.3*2.8</f>
        <v>3.66</v>
      </c>
      <c r="V12" s="100" t="s">
        <v>204</v>
      </c>
      <c r="W12" s="102"/>
      <c r="X12" s="5">
        <f>(0.3*0.6*1*25)-0.3*2.8</f>
        <v>3.66</v>
      </c>
      <c r="Y12" s="5">
        <f>(0.3*0.6*1*25)-0.3*2.8</f>
        <v>3.66</v>
      </c>
      <c r="AC12" s="100" t="s">
        <v>204</v>
      </c>
      <c r="AD12" s="102"/>
      <c r="AE12" s="5">
        <f>(0.3*0.6*1*25)-0.3*2.8</f>
        <v>3.66</v>
      </c>
      <c r="AF12" s="5">
        <f>(0.3*0.6*1*25)-0.3*2.8</f>
        <v>3.66</v>
      </c>
      <c r="AH12" s="100" t="s">
        <v>204</v>
      </c>
      <c r="AI12" s="102"/>
      <c r="AJ12" s="5">
        <f>(0.3*0.6*1*25)-0.3*2.8</f>
        <v>3.66</v>
      </c>
      <c r="AK12" s="5">
        <f>(0.3*0.6*1*25)-0.3*2.8</f>
        <v>3.66</v>
      </c>
      <c r="AM12" s="100" t="s">
        <v>204</v>
      </c>
      <c r="AN12" s="102"/>
      <c r="AO12" s="5">
        <f>(0.3*0.6*1*25)-0.3*2.8</f>
        <v>3.66</v>
      </c>
      <c r="AP12" s="5">
        <f>(0.3*0.6*1*25)-0.3*2.8</f>
        <v>3.66</v>
      </c>
      <c r="AR12" s="100" t="s">
        <v>204</v>
      </c>
      <c r="AS12" s="102"/>
      <c r="AT12" s="5">
        <f>(0.3*0.6*1*25)-0.3*2.8</f>
        <v>3.66</v>
      </c>
      <c r="AU12" s="5">
        <f>(0.3*0.6*1*25)-0.3*2.8</f>
        <v>3.66</v>
      </c>
      <c r="AW12" s="100" t="s">
        <v>204</v>
      </c>
      <c r="AX12" s="102"/>
      <c r="AY12" s="5">
        <f>(0.3*0.6*1*25)-0.3*2.8</f>
        <v>3.66</v>
      </c>
      <c r="AZ12" s="5">
        <f>(0.3*0.6*1*25)-0.3*2.8</f>
        <v>3.66</v>
      </c>
      <c r="BB12" s="100" t="s">
        <v>204</v>
      </c>
      <c r="BC12" s="102"/>
      <c r="BD12" s="5">
        <f>(0.3*0.6*1*25)-0.3*2.8</f>
        <v>3.66</v>
      </c>
      <c r="BE12" s="5">
        <f>(0.3*0.6*1*25)-0.3*2.8</f>
        <v>3.66</v>
      </c>
    </row>
    <row r="13" spans="1:57" ht="15" customHeight="1" x14ac:dyDescent="0.25">
      <c r="A13" s="12"/>
      <c r="B13" s="100" t="s">
        <v>112</v>
      </c>
      <c r="C13" s="102"/>
      <c r="D13" s="5">
        <f>SUM(D11:D12)</f>
        <v>37.606470999999999</v>
      </c>
      <c r="E13" s="5">
        <f>SUM(E11:E12)</f>
        <v>25.332670000000004</v>
      </c>
      <c r="G13" s="100" t="s">
        <v>112</v>
      </c>
      <c r="H13" s="102"/>
      <c r="I13" s="5">
        <f>SUM(I11:I12)</f>
        <v>53.446973499999999</v>
      </c>
      <c r="J13" s="5">
        <f>SUM(J11:J12)</f>
        <v>34.194595000000007</v>
      </c>
      <c r="L13" s="100" t="s">
        <v>112</v>
      </c>
      <c r="M13" s="102"/>
      <c r="N13" s="5">
        <f>SUM(N11:N12)</f>
        <v>53.446973499999999</v>
      </c>
      <c r="O13" s="5">
        <f>SUM(O11:O12)</f>
        <v>34.194595000000007</v>
      </c>
      <c r="Q13" s="100" t="s">
        <v>112</v>
      </c>
      <c r="R13" s="102"/>
      <c r="S13" s="5">
        <f>SUM(S11:S12)</f>
        <v>53.446973499999999</v>
      </c>
      <c r="T13" s="5">
        <f>SUM(T11:T12)</f>
        <v>34.194595000000007</v>
      </c>
      <c r="V13" s="100" t="s">
        <v>112</v>
      </c>
      <c r="W13" s="102"/>
      <c r="X13" s="5">
        <f>SUM(X11:X12)</f>
        <v>37.606470999999999</v>
      </c>
      <c r="Y13" s="5">
        <f>SUM(Y11:Y12)</f>
        <v>25.332670000000004</v>
      </c>
      <c r="AC13" s="100" t="s">
        <v>112</v>
      </c>
      <c r="AD13" s="102"/>
      <c r="AE13" s="5">
        <f>SUM(AE11:AE12)</f>
        <v>16.488167499999999</v>
      </c>
      <c r="AF13" s="5">
        <f>SUM(AF11:AF12)</f>
        <v>12.673975</v>
      </c>
      <c r="AH13" s="100" t="s">
        <v>112</v>
      </c>
      <c r="AI13" s="102"/>
      <c r="AJ13" s="5">
        <f>SUM(AJ11:AJ12)</f>
        <v>13.716335000000001</v>
      </c>
      <c r="AK13" s="5">
        <f>SUM(AK11:AK12)</f>
        <v>9.6879500000000007</v>
      </c>
      <c r="AM13" s="100" t="s">
        <v>112</v>
      </c>
      <c r="AN13" s="102"/>
      <c r="AO13" s="5">
        <f>SUM(AO11:AO12)</f>
        <v>52.693691992033223</v>
      </c>
      <c r="AP13" s="5">
        <f>SUM(AP11:AP12)</f>
        <v>35.872070763102485</v>
      </c>
      <c r="AR13" s="100" t="s">
        <v>112</v>
      </c>
      <c r="AS13" s="102"/>
      <c r="AT13" s="5">
        <f>SUM(AT11:AT12)</f>
        <v>52.693691992033223</v>
      </c>
      <c r="AU13" s="5">
        <f>SUM(AU11:AU12)</f>
        <v>35.872070763102485</v>
      </c>
      <c r="AW13" s="100" t="s">
        <v>112</v>
      </c>
      <c r="AX13" s="102"/>
      <c r="AY13" s="5">
        <f>SUM(AY11:AY12)</f>
        <v>13.716335000000001</v>
      </c>
      <c r="AZ13" s="5">
        <f>SUM(AZ11:AZ12)</f>
        <v>9.6879500000000007</v>
      </c>
      <c r="BB13" s="100" t="s">
        <v>112</v>
      </c>
      <c r="BC13" s="102"/>
      <c r="BD13" s="5">
        <f>SUM(BD11:BD12)</f>
        <v>16.488167499999999</v>
      </c>
      <c r="BE13" s="5">
        <f>SUM(BE11:BE12)</f>
        <v>12.673975</v>
      </c>
    </row>
    <row r="14" spans="1:57" ht="15" customHeight="1" x14ac:dyDescent="0.25">
      <c r="A14" s="12"/>
      <c r="B14" s="189" t="s">
        <v>255</v>
      </c>
      <c r="C14" s="190"/>
      <c r="D14" s="139"/>
      <c r="E14" s="139"/>
      <c r="F14" s="139"/>
      <c r="G14" s="139"/>
      <c r="H14" s="139"/>
      <c r="I14" s="139"/>
      <c r="J14" s="139"/>
      <c r="K14" s="139"/>
      <c r="L14" s="139"/>
      <c r="M14" s="139"/>
      <c r="N14" s="139"/>
      <c r="O14" s="139"/>
      <c r="P14" s="139"/>
      <c r="Q14" s="139"/>
      <c r="R14" s="139"/>
      <c r="S14" s="139"/>
      <c r="T14" s="139"/>
      <c r="U14" s="139"/>
      <c r="V14" s="139"/>
      <c r="W14" s="139"/>
      <c r="X14" s="139"/>
      <c r="Y14" s="140"/>
      <c r="AH14" s="45"/>
      <c r="AI14" s="45"/>
      <c r="AJ14" s="45"/>
      <c r="AK14" s="45"/>
      <c r="AM14" s="45"/>
      <c r="AN14" s="45"/>
      <c r="AO14" s="45"/>
      <c r="AP14" s="45"/>
      <c r="AR14" s="45"/>
      <c r="AS14" s="45"/>
      <c r="AT14" s="45"/>
      <c r="AU14" s="45"/>
      <c r="AW14" s="45"/>
      <c r="AX14" s="45"/>
      <c r="AY14" s="45"/>
      <c r="AZ14" s="45"/>
      <c r="BB14" s="45"/>
      <c r="BC14" s="45"/>
      <c r="BD14" s="45"/>
      <c r="BE14" s="45"/>
    </row>
    <row r="15" spans="1:57" ht="15" customHeight="1" x14ac:dyDescent="0.25">
      <c r="A15" s="12"/>
      <c r="B15" s="141"/>
      <c r="C15" s="142"/>
      <c r="D15" s="142"/>
      <c r="E15" s="142"/>
      <c r="F15" s="142"/>
      <c r="G15" s="142"/>
      <c r="H15" s="142"/>
      <c r="I15" s="142"/>
      <c r="J15" s="142"/>
      <c r="K15" s="142"/>
      <c r="L15" s="142"/>
      <c r="M15" s="142"/>
      <c r="N15" s="142"/>
      <c r="O15" s="142"/>
      <c r="P15" s="142"/>
      <c r="Q15" s="142"/>
      <c r="R15" s="142"/>
      <c r="S15" s="142"/>
      <c r="T15" s="142"/>
      <c r="U15" s="142"/>
      <c r="V15" s="142"/>
      <c r="W15" s="142"/>
      <c r="X15" s="142"/>
      <c r="Y15" s="143"/>
      <c r="AH15" s="135" t="s">
        <v>211</v>
      </c>
      <c r="AI15" s="136"/>
      <c r="AJ15" s="136"/>
      <c r="AK15" s="137"/>
      <c r="AM15" s="135" t="s">
        <v>213</v>
      </c>
      <c r="AN15" s="136"/>
      <c r="AO15" s="136"/>
      <c r="AP15" s="137"/>
      <c r="AR15" s="135" t="s">
        <v>215</v>
      </c>
      <c r="AS15" s="136"/>
      <c r="AT15" s="136"/>
      <c r="AU15" s="137"/>
      <c r="AW15" s="135" t="s">
        <v>217</v>
      </c>
      <c r="AX15" s="136"/>
      <c r="AY15" s="136"/>
      <c r="AZ15" s="137"/>
      <c r="BB15" s="135" t="s">
        <v>218</v>
      </c>
      <c r="BC15" s="136"/>
      <c r="BD15" s="136"/>
      <c r="BE15" s="137"/>
    </row>
    <row r="16" spans="1:57" ht="18.75" x14ac:dyDescent="0.25">
      <c r="A16" s="12"/>
      <c r="B16" s="135" t="s">
        <v>129</v>
      </c>
      <c r="C16" s="136"/>
      <c r="D16" s="136"/>
      <c r="E16" s="137"/>
      <c r="G16" s="135" t="s">
        <v>133</v>
      </c>
      <c r="H16" s="136"/>
      <c r="I16" s="136"/>
      <c r="J16" s="137"/>
      <c r="L16" s="135" t="s">
        <v>136</v>
      </c>
      <c r="M16" s="136"/>
      <c r="N16" s="136"/>
      <c r="O16" s="137"/>
      <c r="Q16" s="135" t="s">
        <v>207</v>
      </c>
      <c r="R16" s="136"/>
      <c r="S16" s="136"/>
      <c r="T16" s="137"/>
      <c r="V16" s="135" t="s">
        <v>134</v>
      </c>
      <c r="W16" s="136"/>
      <c r="X16" s="136"/>
      <c r="Y16" s="137"/>
      <c r="AH16" s="67"/>
      <c r="AI16" s="69" t="s">
        <v>143</v>
      </c>
      <c r="AJ16" s="69" t="s">
        <v>144</v>
      </c>
      <c r="AK16" s="69" t="s">
        <v>205</v>
      </c>
      <c r="AM16" s="67"/>
      <c r="AN16" s="69" t="s">
        <v>143</v>
      </c>
      <c r="AO16" s="69" t="s">
        <v>144</v>
      </c>
      <c r="AP16" s="69" t="s">
        <v>205</v>
      </c>
      <c r="AR16" s="67"/>
      <c r="AS16" s="69" t="s">
        <v>143</v>
      </c>
      <c r="AT16" s="69" t="s">
        <v>144</v>
      </c>
      <c r="AU16" s="69" t="s">
        <v>205</v>
      </c>
      <c r="AW16" s="67"/>
      <c r="AX16" s="69" t="s">
        <v>143</v>
      </c>
      <c r="AY16" s="69" t="s">
        <v>144</v>
      </c>
      <c r="AZ16" s="69" t="s">
        <v>205</v>
      </c>
      <c r="BB16" s="37"/>
      <c r="BC16" s="38" t="s">
        <v>143</v>
      </c>
      <c r="BD16" s="38" t="s">
        <v>144</v>
      </c>
      <c r="BE16" s="38" t="s">
        <v>205</v>
      </c>
    </row>
    <row r="17" spans="1:57" ht="18" customHeight="1" x14ac:dyDescent="0.25">
      <c r="A17" s="12"/>
      <c r="B17" s="42"/>
      <c r="C17" s="41" t="s">
        <v>143</v>
      </c>
      <c r="D17" s="41" t="s">
        <v>144</v>
      </c>
      <c r="E17" s="41" t="s">
        <v>205</v>
      </c>
      <c r="G17" s="37"/>
      <c r="H17" s="38" t="s">
        <v>143</v>
      </c>
      <c r="I17" s="38" t="s">
        <v>144</v>
      </c>
      <c r="J17" s="38" t="s">
        <v>205</v>
      </c>
      <c r="L17" s="37"/>
      <c r="M17" s="38" t="s">
        <v>143</v>
      </c>
      <c r="N17" s="38" t="s">
        <v>144</v>
      </c>
      <c r="O17" s="38" t="s">
        <v>205</v>
      </c>
      <c r="Q17" s="37"/>
      <c r="R17" s="38" t="s">
        <v>143</v>
      </c>
      <c r="S17" s="38" t="s">
        <v>144</v>
      </c>
      <c r="T17" s="38" t="s">
        <v>205</v>
      </c>
      <c r="V17" s="37"/>
      <c r="W17" s="38" t="s">
        <v>143</v>
      </c>
      <c r="X17" s="38" t="s">
        <v>144</v>
      </c>
      <c r="Y17" s="38" t="s">
        <v>205</v>
      </c>
      <c r="AH17" s="67" t="s">
        <v>145</v>
      </c>
      <c r="AI17" s="5">
        <v>1</v>
      </c>
      <c r="AJ17" s="5">
        <f>'Carichi unitari'!$P$25</f>
        <v>10.056335000000001</v>
      </c>
      <c r="AK17" s="5">
        <f>'Carichi unitari'!$M$25</f>
        <v>6.0279500000000006</v>
      </c>
      <c r="AM17" s="67" t="s">
        <v>145</v>
      </c>
      <c r="AN17" s="5">
        <v>1</v>
      </c>
      <c r="AO17" s="5">
        <f>'Carichi unitari'!$P$25</f>
        <v>10.056335000000001</v>
      </c>
      <c r="AP17" s="5">
        <f>'Carichi unitari'!$M$25</f>
        <v>6.0279500000000006</v>
      </c>
      <c r="AR17" s="67" t="s">
        <v>145</v>
      </c>
      <c r="AS17" s="5">
        <v>1</v>
      </c>
      <c r="AT17" s="5">
        <f>'Carichi unitari'!$P$25</f>
        <v>10.056335000000001</v>
      </c>
      <c r="AU17" s="5">
        <f>'Carichi unitari'!$M$25</f>
        <v>6.0279500000000006</v>
      </c>
      <c r="AW17" s="67" t="s">
        <v>145</v>
      </c>
      <c r="AX17" s="5">
        <v>1</v>
      </c>
      <c r="AY17" s="5">
        <f>'Carichi unitari'!$P$25</f>
        <v>10.056335000000001</v>
      </c>
      <c r="AZ17" s="5">
        <f>'Carichi unitari'!$M$25</f>
        <v>6.0279500000000006</v>
      </c>
      <c r="BB17" s="37" t="s">
        <v>145</v>
      </c>
      <c r="BC17" s="5">
        <v>0.5</v>
      </c>
      <c r="BD17" s="5">
        <f>'Carichi unitari'!$P$25</f>
        <v>10.056335000000001</v>
      </c>
      <c r="BE17" s="5">
        <f>'Carichi unitari'!$M$25</f>
        <v>6.0279500000000006</v>
      </c>
    </row>
    <row r="18" spans="1:57" ht="15" customHeight="1" x14ac:dyDescent="0.25">
      <c r="A18" s="12"/>
      <c r="B18" s="42" t="s">
        <v>145</v>
      </c>
      <c r="C18" s="5">
        <f>(5.3/2)+(5.2/2)</f>
        <v>5.25</v>
      </c>
      <c r="D18" s="5">
        <f>'Carichi unitari'!$P$25</f>
        <v>10.056335000000001</v>
      </c>
      <c r="E18" s="5">
        <f>'Carichi unitari'!$M$25</f>
        <v>6.0279500000000006</v>
      </c>
      <c r="G18" s="37" t="s">
        <v>145</v>
      </c>
      <c r="H18" s="5">
        <f>(5.3/2)+(5.2/2)</f>
        <v>5.25</v>
      </c>
      <c r="I18" s="5">
        <f>'Carichi unitari'!$P$25</f>
        <v>10.056335000000001</v>
      </c>
      <c r="J18" s="5">
        <f>'Carichi unitari'!$M$25</f>
        <v>6.0279500000000006</v>
      </c>
      <c r="L18" s="37" t="s">
        <v>145</v>
      </c>
      <c r="M18" s="5">
        <f>(5.2/2)</f>
        <v>2.6</v>
      </c>
      <c r="N18" s="5">
        <f>'Carichi unitari'!$P$25</f>
        <v>10.056335000000001</v>
      </c>
      <c r="O18" s="5">
        <f>'Carichi unitari'!$M$25</f>
        <v>6.0279500000000006</v>
      </c>
      <c r="Q18" s="37" t="s">
        <v>145</v>
      </c>
      <c r="R18" s="5">
        <f>(5.3/2)+(5.2/2)</f>
        <v>5.25</v>
      </c>
      <c r="S18" s="5">
        <f>'Carichi unitari'!$P$25</f>
        <v>10.056335000000001</v>
      </c>
      <c r="T18" s="5">
        <f>'Carichi unitari'!$M$25</f>
        <v>6.0279500000000006</v>
      </c>
      <c r="V18" s="37" t="s">
        <v>145</v>
      </c>
      <c r="W18" s="5">
        <f>(5.3/2)+(5.2/2)</f>
        <v>5.25</v>
      </c>
      <c r="X18" s="5">
        <f>'Carichi unitari'!$P$25</f>
        <v>10.056335000000001</v>
      </c>
      <c r="Y18" s="5">
        <f>'Carichi unitari'!$M$25</f>
        <v>6.0279500000000006</v>
      </c>
      <c r="AH18" s="67" t="s">
        <v>146</v>
      </c>
      <c r="AI18" s="5">
        <v>0</v>
      </c>
      <c r="AJ18" s="5">
        <f>'Carichi unitari'!$P$27</f>
        <v>10.560335</v>
      </c>
      <c r="AK18" s="5">
        <f>'Carichi unitari'!$M$27</f>
        <v>5.9079499999999996</v>
      </c>
      <c r="AM18" s="67" t="s">
        <v>146</v>
      </c>
      <c r="AN18" s="5">
        <v>0</v>
      </c>
      <c r="AO18" s="5">
        <f>'Carichi unitari'!$P$27</f>
        <v>10.560335</v>
      </c>
      <c r="AP18" s="5">
        <f>'Carichi unitari'!$M$27</f>
        <v>5.9079499999999996</v>
      </c>
      <c r="AR18" s="67" t="s">
        <v>146</v>
      </c>
      <c r="AS18" s="5">
        <v>0</v>
      </c>
      <c r="AT18" s="5">
        <f>'Carichi unitari'!$P$27</f>
        <v>10.560335</v>
      </c>
      <c r="AU18" s="5">
        <f>'Carichi unitari'!$M$27</f>
        <v>5.9079499999999996</v>
      </c>
      <c r="AW18" s="67" t="s">
        <v>146</v>
      </c>
      <c r="AX18" s="5">
        <v>0</v>
      </c>
      <c r="AY18" s="5">
        <f>'Carichi unitari'!$P$27</f>
        <v>10.560335</v>
      </c>
      <c r="AZ18" s="5">
        <f>'Carichi unitari'!$M$27</f>
        <v>5.9079499999999996</v>
      </c>
      <c r="BB18" s="37" t="s">
        <v>146</v>
      </c>
      <c r="BC18" s="5">
        <v>0</v>
      </c>
      <c r="BD18" s="5">
        <f>'Carichi unitari'!$P$27</f>
        <v>10.560335</v>
      </c>
      <c r="BE18" s="5">
        <f>'Carichi unitari'!$M$27</f>
        <v>5.9079499999999996</v>
      </c>
    </row>
    <row r="19" spans="1:57" ht="15" customHeight="1" x14ac:dyDescent="0.25">
      <c r="A19" s="12"/>
      <c r="B19" s="42" t="s">
        <v>146</v>
      </c>
      <c r="C19" s="5">
        <v>0</v>
      </c>
      <c r="D19" s="5">
        <f>'Carichi unitari'!$P$27</f>
        <v>10.560335</v>
      </c>
      <c r="E19" s="5">
        <f>'Carichi unitari'!$M$27</f>
        <v>5.9079499999999996</v>
      </c>
      <c r="G19" s="37" t="s">
        <v>146</v>
      </c>
      <c r="H19" s="5">
        <v>0</v>
      </c>
      <c r="I19" s="5">
        <f>'Carichi unitari'!$P$27</f>
        <v>10.560335</v>
      </c>
      <c r="J19" s="5">
        <f>'Carichi unitari'!$M$27</f>
        <v>5.9079499999999996</v>
      </c>
      <c r="L19" s="37" t="s">
        <v>146</v>
      </c>
      <c r="M19" s="5">
        <v>0</v>
      </c>
      <c r="N19" s="5">
        <f>'Carichi unitari'!$P$27</f>
        <v>10.560335</v>
      </c>
      <c r="O19" s="5">
        <f>'Carichi unitari'!$M$27</f>
        <v>5.9079499999999996</v>
      </c>
      <c r="Q19" s="37" t="s">
        <v>146</v>
      </c>
      <c r="R19" s="5">
        <v>0</v>
      </c>
      <c r="S19" s="5">
        <f>'Carichi unitari'!$P$27</f>
        <v>10.560335</v>
      </c>
      <c r="T19" s="5">
        <f>'Carichi unitari'!$M$27</f>
        <v>5.9079499999999996</v>
      </c>
      <c r="V19" s="37" t="s">
        <v>146</v>
      </c>
      <c r="W19" s="5">
        <v>0</v>
      </c>
      <c r="X19" s="5">
        <f>'Carichi unitari'!$P$27</f>
        <v>10.560335</v>
      </c>
      <c r="Y19" s="5">
        <f>'Carichi unitari'!$M$27</f>
        <v>5.9079499999999996</v>
      </c>
      <c r="AH19" s="67" t="s">
        <v>148</v>
      </c>
      <c r="AI19" s="5">
        <v>0</v>
      </c>
      <c r="AJ19" s="5">
        <f>'Carichi unitari'!$P$28</f>
        <v>17.240725948587251</v>
      </c>
      <c r="AK19" s="5">
        <f>'Carichi unitari'!$M$28</f>
        <v>11.04671226814404</v>
      </c>
      <c r="AM19" s="67" t="s">
        <v>148</v>
      </c>
      <c r="AN19" s="5">
        <v>0</v>
      </c>
      <c r="AO19" s="5">
        <f>'Carichi unitari'!$P$28</f>
        <v>17.240725948587251</v>
      </c>
      <c r="AP19" s="5">
        <f>'Carichi unitari'!$M$28</f>
        <v>11.04671226814404</v>
      </c>
      <c r="AR19" s="67" t="s">
        <v>148</v>
      </c>
      <c r="AS19" s="5">
        <v>0</v>
      </c>
      <c r="AT19" s="5">
        <f>'Carichi unitari'!$P$28</f>
        <v>17.240725948587251</v>
      </c>
      <c r="AU19" s="5">
        <f>'Carichi unitari'!$M$28</f>
        <v>11.04671226814404</v>
      </c>
      <c r="AW19" s="67" t="s">
        <v>148</v>
      </c>
      <c r="AX19" s="5">
        <v>0</v>
      </c>
      <c r="AY19" s="5">
        <f>'Carichi unitari'!$P$28</f>
        <v>17.240725948587251</v>
      </c>
      <c r="AZ19" s="5">
        <f>'Carichi unitari'!$M$28</f>
        <v>11.04671226814404</v>
      </c>
      <c r="BB19" s="37" t="s">
        <v>148</v>
      </c>
      <c r="BC19" s="5">
        <v>0</v>
      </c>
      <c r="BD19" s="5">
        <f>'Carichi unitari'!$P$28</f>
        <v>17.240725948587251</v>
      </c>
      <c r="BE19" s="5">
        <f>'Carichi unitari'!$M$28</f>
        <v>11.04671226814404</v>
      </c>
    </row>
    <row r="20" spans="1:57" ht="15" customHeight="1" x14ac:dyDescent="0.25">
      <c r="A20" s="12"/>
      <c r="B20" s="42" t="s">
        <v>148</v>
      </c>
      <c r="C20" s="5">
        <v>0</v>
      </c>
      <c r="D20" s="5">
        <f>'Carichi unitari'!$P$28</f>
        <v>17.240725948587251</v>
      </c>
      <c r="E20" s="5">
        <f>'Carichi unitari'!$M$28</f>
        <v>11.04671226814404</v>
      </c>
      <c r="G20" s="37" t="s">
        <v>148</v>
      </c>
      <c r="H20" s="5">
        <v>0</v>
      </c>
      <c r="I20" s="5">
        <f>'Carichi unitari'!$P$28</f>
        <v>17.240725948587251</v>
      </c>
      <c r="J20" s="5">
        <f>'Carichi unitari'!$M$28</f>
        <v>11.04671226814404</v>
      </c>
      <c r="L20" s="37" t="s">
        <v>148</v>
      </c>
      <c r="M20" s="5">
        <f>(5.5/2)</f>
        <v>2.75</v>
      </c>
      <c r="N20" s="5">
        <f>'Carichi unitari'!$P$28</f>
        <v>17.240725948587251</v>
      </c>
      <c r="O20" s="5">
        <f>'Carichi unitari'!$M$28</f>
        <v>11.04671226814404</v>
      </c>
      <c r="Q20" s="37" t="s">
        <v>148</v>
      </c>
      <c r="R20" s="5">
        <v>0</v>
      </c>
      <c r="S20" s="5">
        <f>'Carichi unitari'!$P$28</f>
        <v>17.240725948587251</v>
      </c>
      <c r="T20" s="5">
        <f>'Carichi unitari'!$M$28</f>
        <v>11.04671226814404</v>
      </c>
      <c r="V20" s="37" t="s">
        <v>148</v>
      </c>
      <c r="W20" s="5">
        <v>0</v>
      </c>
      <c r="X20" s="5">
        <f>'Carichi unitari'!$P$28</f>
        <v>17.240725948587251</v>
      </c>
      <c r="Y20" s="5">
        <f>'Carichi unitari'!$M$28</f>
        <v>11.04671226814404</v>
      </c>
      <c r="AH20" s="88" t="s">
        <v>149</v>
      </c>
      <c r="AI20" s="89"/>
      <c r="AJ20" s="5">
        <v>0</v>
      </c>
      <c r="AK20" s="5">
        <v>0</v>
      </c>
      <c r="AM20" s="88" t="s">
        <v>149</v>
      </c>
      <c r="AN20" s="89"/>
      <c r="AO20" s="5">
        <v>7.8</v>
      </c>
      <c r="AP20" s="5">
        <v>6</v>
      </c>
      <c r="AR20" s="88" t="s">
        <v>149</v>
      </c>
      <c r="AS20" s="89"/>
      <c r="AT20" s="5">
        <v>0</v>
      </c>
      <c r="AU20" s="5">
        <v>0</v>
      </c>
      <c r="AW20" s="88" t="s">
        <v>149</v>
      </c>
      <c r="AX20" s="89"/>
      <c r="AY20" s="5">
        <v>0</v>
      </c>
      <c r="AZ20" s="5">
        <v>0</v>
      </c>
      <c r="BB20" s="88" t="s">
        <v>149</v>
      </c>
      <c r="BC20" s="89"/>
      <c r="BD20" s="5">
        <v>7.8</v>
      </c>
      <c r="BE20" s="5">
        <v>6</v>
      </c>
    </row>
    <row r="21" spans="1:57" ht="15" customHeight="1" x14ac:dyDescent="0.25">
      <c r="A21" s="12"/>
      <c r="B21" s="88" t="s">
        <v>149</v>
      </c>
      <c r="C21" s="89"/>
      <c r="D21" s="5">
        <v>0</v>
      </c>
      <c r="E21" s="5">
        <v>0</v>
      </c>
      <c r="G21" s="88" t="s">
        <v>149</v>
      </c>
      <c r="H21" s="89"/>
      <c r="I21" s="5">
        <v>0</v>
      </c>
      <c r="J21" s="5">
        <v>0</v>
      </c>
      <c r="L21" s="88" t="s">
        <v>149</v>
      </c>
      <c r="M21" s="89"/>
      <c r="N21" s="5">
        <v>7.8</v>
      </c>
      <c r="O21" s="5">
        <v>6</v>
      </c>
      <c r="Q21" s="88" t="s">
        <v>149</v>
      </c>
      <c r="R21" s="89"/>
      <c r="S21" s="5">
        <v>0</v>
      </c>
      <c r="T21" s="5">
        <v>0</v>
      </c>
      <c r="V21" s="88" t="s">
        <v>149</v>
      </c>
      <c r="W21" s="89"/>
      <c r="X21" s="5">
        <v>0</v>
      </c>
      <c r="Y21" s="5">
        <v>0</v>
      </c>
      <c r="AH21" s="133"/>
      <c r="AI21" s="134"/>
      <c r="AJ21" s="5">
        <f>AI17*AJ17+AI18*AJ18+AI19*AJ19+AJ20</f>
        <v>10.056335000000001</v>
      </c>
      <c r="AK21" s="5">
        <f>AI17*AK17+AI18*AK18+AI19*AK19+AK20</f>
        <v>6.0279500000000006</v>
      </c>
      <c r="AM21" s="133"/>
      <c r="AN21" s="134"/>
      <c r="AO21" s="5">
        <f>AN17*AO17+AN18*AO18+AN19*AO19+AO20</f>
        <v>17.856335000000001</v>
      </c>
      <c r="AP21" s="5">
        <f>AN17*AP17+AN18*AP18+AN19*AP19+AP20</f>
        <v>12.027950000000001</v>
      </c>
      <c r="AR21" s="133"/>
      <c r="AS21" s="134"/>
      <c r="AT21" s="5">
        <f>AS17*AT17+AS18*AT18+AS19*AT19+AT20</f>
        <v>10.056335000000001</v>
      </c>
      <c r="AU21" s="5">
        <f>AS17*AU17+AS18*AU18+AS19*AU19+AU20</f>
        <v>6.0279500000000006</v>
      </c>
      <c r="AW21" s="133"/>
      <c r="AX21" s="134"/>
      <c r="AY21" s="5">
        <f>AX17*AY17+AX18*AY18+AX19*AY19+AY20</f>
        <v>10.056335000000001</v>
      </c>
      <c r="AZ21" s="5">
        <f>AX17*AZ17+AX18*AZ18+AX19*AZ19+AZ20</f>
        <v>6.0279500000000006</v>
      </c>
      <c r="BB21" s="133"/>
      <c r="BC21" s="134"/>
      <c r="BD21" s="5">
        <f>BC17*BD17+BC18*BD18+BC19*BD19+BD20</f>
        <v>12.828167499999999</v>
      </c>
      <c r="BE21" s="5">
        <f>BC17*BE17+BC18*BE18+BC19*BE19+BE20</f>
        <v>9.0139750000000003</v>
      </c>
    </row>
    <row r="22" spans="1:57" ht="15" customHeight="1" x14ac:dyDescent="0.25">
      <c r="A22" s="12"/>
      <c r="B22" s="133"/>
      <c r="C22" s="134"/>
      <c r="D22" s="5">
        <f>C18*D18+C19*D19+C20*D20+D21</f>
        <v>52.795758750000005</v>
      </c>
      <c r="E22" s="5">
        <f>C18*E18+C19*E19+C20*E20+E21</f>
        <v>31.646737500000004</v>
      </c>
      <c r="G22" s="133"/>
      <c r="H22" s="134"/>
      <c r="I22" s="5">
        <f>H18*I18+H19*I19+H20*I20+I21</f>
        <v>52.795758750000005</v>
      </c>
      <c r="J22" s="5">
        <f>H18*J18+H19*J19+H20*J20+J21</f>
        <v>31.646737500000004</v>
      </c>
      <c r="L22" s="133"/>
      <c r="M22" s="134"/>
      <c r="N22" s="5">
        <f>M18*N18+M19*N19+M20*N20+N21</f>
        <v>81.358467358614945</v>
      </c>
      <c r="O22" s="5">
        <f>M18*O18+M19*O19+M20*O20+O21</f>
        <v>52.051128737396112</v>
      </c>
      <c r="Q22" s="133"/>
      <c r="R22" s="134"/>
      <c r="S22" s="5">
        <f>R18*S18+R19*S19+R20*S20+S21</f>
        <v>52.795758750000005</v>
      </c>
      <c r="T22" s="5">
        <f>R18*T18+R19*T19+R20*T20+T21</f>
        <v>31.646737500000004</v>
      </c>
      <c r="V22" s="133"/>
      <c r="W22" s="134"/>
      <c r="X22" s="5">
        <f>W18*X18+W19*X19+W20*X20+X21</f>
        <v>52.795758750000005</v>
      </c>
      <c r="Y22" s="5">
        <f>W18*Y18+W19*Y19+W20*Y20+Y21</f>
        <v>31.646737500000004</v>
      </c>
      <c r="AH22" s="100" t="s">
        <v>204</v>
      </c>
      <c r="AI22" s="102"/>
      <c r="AJ22" s="5">
        <f>(0.3*0.6*1*25)-0.3*2.8</f>
        <v>3.66</v>
      </c>
      <c r="AK22" s="5">
        <f>(0.3*0.6*1*25)-0.3*2.8</f>
        <v>3.66</v>
      </c>
      <c r="AM22" s="100" t="s">
        <v>204</v>
      </c>
      <c r="AN22" s="102"/>
      <c r="AO22" s="5">
        <f>(0.3*0.6*1*25)-0.3*2.8</f>
        <v>3.66</v>
      </c>
      <c r="AP22" s="5">
        <f>(0.3*0.6*1*25)-0.3*2.8</f>
        <v>3.66</v>
      </c>
      <c r="AR22" s="100" t="s">
        <v>204</v>
      </c>
      <c r="AS22" s="102"/>
      <c r="AT22" s="5">
        <f>(0.3*0.6*1*25)-0.3*2.8</f>
        <v>3.66</v>
      </c>
      <c r="AU22" s="5">
        <f>(0.3*0.6*1*25)-0.3*2.8</f>
        <v>3.66</v>
      </c>
      <c r="AW22" s="100" t="s">
        <v>204</v>
      </c>
      <c r="AX22" s="102"/>
      <c r="AY22" s="5">
        <f>(0.3*0.6*1*25)-0.3*2.8</f>
        <v>3.66</v>
      </c>
      <c r="AZ22" s="5">
        <f>(0.3*0.6*1*25)-0.3*2.8</f>
        <v>3.66</v>
      </c>
      <c r="BB22" s="100" t="s">
        <v>204</v>
      </c>
      <c r="BC22" s="102"/>
      <c r="BD22" s="5">
        <f>(0.3*0.6*1*25)-0.3*2.8</f>
        <v>3.66</v>
      </c>
      <c r="BE22" s="5">
        <f>(0.3*0.6*1*25)-0.3*2.8</f>
        <v>3.66</v>
      </c>
    </row>
    <row r="23" spans="1:57" ht="15" customHeight="1" x14ac:dyDescent="0.25">
      <c r="A23" s="12"/>
      <c r="B23" s="100" t="s">
        <v>204</v>
      </c>
      <c r="C23" s="102"/>
      <c r="D23" s="5">
        <f>(0.3*0.6*1*25)-0.3*2.8</f>
        <v>3.66</v>
      </c>
      <c r="E23" s="5">
        <f>(0.3*0.6*1*25)-0.3*2.8</f>
        <v>3.66</v>
      </c>
      <c r="G23" s="100" t="s">
        <v>204</v>
      </c>
      <c r="H23" s="102"/>
      <c r="I23" s="5">
        <f>(0.3*0.6*1*25)-0.3*2.8</f>
        <v>3.66</v>
      </c>
      <c r="J23" s="5">
        <f>(0.3*0.6*1*25)-0.3*2.8</f>
        <v>3.66</v>
      </c>
      <c r="L23" s="100" t="s">
        <v>204</v>
      </c>
      <c r="M23" s="102"/>
      <c r="N23" s="5">
        <f>(0.3*0.6*1*25)-0.3*2.8</f>
        <v>3.66</v>
      </c>
      <c r="O23" s="5">
        <f>(0.3*0.6*1*25)-0.3*2.8</f>
        <v>3.66</v>
      </c>
      <c r="Q23" s="100" t="s">
        <v>204</v>
      </c>
      <c r="R23" s="102"/>
      <c r="S23" s="5">
        <f>(0.3*0.6*1*25)-0.3*2.8</f>
        <v>3.66</v>
      </c>
      <c r="T23" s="5">
        <f>(0.3*0.6*1*25)-0.3*2.8</f>
        <v>3.66</v>
      </c>
      <c r="V23" s="100" t="s">
        <v>204</v>
      </c>
      <c r="W23" s="102"/>
      <c r="X23" s="5">
        <f>(0.3*0.6*1*25)-0.3*2.8</f>
        <v>3.66</v>
      </c>
      <c r="Y23" s="5">
        <f>(0.3*0.6*1*25)-0.3*2.8</f>
        <v>3.66</v>
      </c>
      <c r="AH23" s="100" t="s">
        <v>112</v>
      </c>
      <c r="AI23" s="102"/>
      <c r="AJ23" s="5">
        <f>SUM(AJ21:AJ22)</f>
        <v>13.716335000000001</v>
      </c>
      <c r="AK23" s="5">
        <f>SUM(AK21:AK22)</f>
        <v>9.6879500000000007</v>
      </c>
      <c r="AM23" s="100" t="s">
        <v>112</v>
      </c>
      <c r="AN23" s="102"/>
      <c r="AO23" s="5">
        <f>SUM(AO21:AO22)</f>
        <v>21.516335000000002</v>
      </c>
      <c r="AP23" s="5">
        <f>SUM(AP21:AP22)</f>
        <v>15.687950000000001</v>
      </c>
      <c r="AR23" s="100" t="s">
        <v>112</v>
      </c>
      <c r="AS23" s="102"/>
      <c r="AT23" s="5">
        <f>SUM(AT21:AT22)</f>
        <v>13.716335000000001</v>
      </c>
      <c r="AU23" s="5">
        <f>SUM(AU21:AU22)</f>
        <v>9.6879500000000007</v>
      </c>
      <c r="AW23" s="100" t="s">
        <v>112</v>
      </c>
      <c r="AX23" s="102"/>
      <c r="AY23" s="5">
        <f>SUM(AY21:AY22)</f>
        <v>13.716335000000001</v>
      </c>
      <c r="AZ23" s="5">
        <f>SUM(AZ21:AZ22)</f>
        <v>9.6879500000000007</v>
      </c>
      <c r="BB23" s="100" t="s">
        <v>112</v>
      </c>
      <c r="BC23" s="102"/>
      <c r="BD23" s="5">
        <f>SUM(BD21:BD22)</f>
        <v>16.488167499999999</v>
      </c>
      <c r="BE23" s="5">
        <f>SUM(BE21:BE22)</f>
        <v>12.673975</v>
      </c>
    </row>
    <row r="24" spans="1:57" ht="15" customHeight="1" x14ac:dyDescent="0.25">
      <c r="A24" s="12"/>
      <c r="B24" s="100" t="s">
        <v>112</v>
      </c>
      <c r="C24" s="102"/>
      <c r="D24" s="5">
        <f>SUM(D22:D23)</f>
        <v>56.455758750000001</v>
      </c>
      <c r="E24" s="5">
        <f>SUM(E22:E23)</f>
        <v>35.306737500000004</v>
      </c>
      <c r="G24" s="100" t="s">
        <v>112</v>
      </c>
      <c r="H24" s="102"/>
      <c r="I24" s="5">
        <f>SUM(I22:I23)</f>
        <v>56.455758750000001</v>
      </c>
      <c r="J24" s="5">
        <f>SUM(J22:J23)</f>
        <v>35.306737500000004</v>
      </c>
      <c r="L24" s="100" t="s">
        <v>112</v>
      </c>
      <c r="M24" s="102"/>
      <c r="N24" s="5">
        <f>SUM(N22:N23)</f>
        <v>85.018467358614942</v>
      </c>
      <c r="O24" s="5">
        <f>SUM(O22:O23)</f>
        <v>55.711128737396109</v>
      </c>
      <c r="Q24" s="100" t="s">
        <v>112</v>
      </c>
      <c r="R24" s="102"/>
      <c r="S24" s="5">
        <f>SUM(S22:S23)</f>
        <v>56.455758750000001</v>
      </c>
      <c r="T24" s="5">
        <f>SUM(T22:T23)</f>
        <v>35.306737500000004</v>
      </c>
      <c r="V24" s="100" t="s">
        <v>112</v>
      </c>
      <c r="W24" s="102"/>
      <c r="X24" s="5">
        <f>SUM(X22:X23)</f>
        <v>56.455758750000001</v>
      </c>
      <c r="Y24" s="5">
        <f>SUM(Y22:Y23)</f>
        <v>35.306737500000004</v>
      </c>
    </row>
    <row r="25" spans="1:57" ht="15" customHeight="1" x14ac:dyDescent="0.25">
      <c r="A25" s="12"/>
      <c r="B25" s="138" t="s">
        <v>254</v>
      </c>
      <c r="C25" s="139"/>
      <c r="D25" s="139"/>
      <c r="E25" s="139"/>
      <c r="F25" s="139"/>
      <c r="G25" s="139"/>
      <c r="H25" s="139"/>
      <c r="I25" s="139"/>
      <c r="J25" s="139"/>
      <c r="K25" s="139"/>
      <c r="L25" s="139"/>
      <c r="M25" s="139"/>
      <c r="N25" s="139"/>
      <c r="O25" s="139"/>
      <c r="P25" s="139"/>
      <c r="Q25" s="139"/>
      <c r="R25" s="139"/>
      <c r="S25" s="139"/>
      <c r="T25" s="139"/>
      <c r="U25" s="139"/>
      <c r="V25" s="139"/>
      <c r="W25" s="139"/>
      <c r="X25" s="139"/>
      <c r="Y25" s="140"/>
    </row>
    <row r="26" spans="1:57" ht="15" customHeight="1" x14ac:dyDescent="0.25">
      <c r="A26" s="12"/>
      <c r="B26" s="141"/>
      <c r="C26" s="142"/>
      <c r="D26" s="142"/>
      <c r="E26" s="142"/>
      <c r="F26" s="142"/>
      <c r="G26" s="142"/>
      <c r="H26" s="142"/>
      <c r="I26" s="142"/>
      <c r="J26" s="142"/>
      <c r="K26" s="142"/>
      <c r="L26" s="142"/>
      <c r="M26" s="142"/>
      <c r="N26" s="142"/>
      <c r="O26" s="142"/>
      <c r="P26" s="142"/>
      <c r="Q26" s="142"/>
      <c r="R26" s="142"/>
      <c r="S26" s="142"/>
      <c r="T26" s="142"/>
      <c r="U26" s="142"/>
      <c r="V26" s="142"/>
      <c r="W26" s="142"/>
      <c r="X26" s="142"/>
      <c r="Y26" s="143"/>
    </row>
    <row r="27" spans="1:57" ht="18.75" x14ac:dyDescent="0.25">
      <c r="A27" s="12"/>
      <c r="B27" s="125" t="s">
        <v>206</v>
      </c>
      <c r="C27" s="125"/>
      <c r="D27" s="125"/>
      <c r="E27" s="125"/>
      <c r="G27" s="125" t="s">
        <v>125</v>
      </c>
      <c r="H27" s="125"/>
      <c r="I27" s="125"/>
      <c r="J27" s="125"/>
      <c r="L27" s="125" t="s">
        <v>127</v>
      </c>
      <c r="M27" s="125"/>
      <c r="N27" s="125"/>
      <c r="O27" s="125"/>
      <c r="Q27" s="125" t="s">
        <v>130</v>
      </c>
      <c r="R27" s="125"/>
      <c r="S27" s="125"/>
      <c r="T27" s="125"/>
      <c r="V27" s="125" t="s">
        <v>135</v>
      </c>
      <c r="W27" s="125"/>
      <c r="X27" s="125"/>
      <c r="Y27" s="125"/>
      <c r="AC27" s="135" t="s">
        <v>209</v>
      </c>
      <c r="AD27" s="136"/>
      <c r="AE27" s="136"/>
      <c r="AF27" s="137"/>
    </row>
    <row r="28" spans="1:57" ht="18" customHeight="1" x14ac:dyDescent="0.25">
      <c r="A28" s="12"/>
      <c r="B28" s="77"/>
      <c r="C28" s="76" t="s">
        <v>143</v>
      </c>
      <c r="D28" s="76" t="s">
        <v>144</v>
      </c>
      <c r="E28" s="76" t="s">
        <v>205</v>
      </c>
      <c r="G28" s="77"/>
      <c r="H28" s="76" t="s">
        <v>143</v>
      </c>
      <c r="I28" s="76" t="s">
        <v>144</v>
      </c>
      <c r="J28" s="76" t="s">
        <v>205</v>
      </c>
      <c r="L28" s="77"/>
      <c r="M28" s="76" t="s">
        <v>143</v>
      </c>
      <c r="N28" s="76" t="s">
        <v>144</v>
      </c>
      <c r="O28" s="76" t="s">
        <v>205</v>
      </c>
      <c r="Q28" s="77"/>
      <c r="R28" s="76" t="s">
        <v>143</v>
      </c>
      <c r="S28" s="76" t="s">
        <v>144</v>
      </c>
      <c r="T28" s="76" t="s">
        <v>205</v>
      </c>
      <c r="V28" s="77"/>
      <c r="W28" s="76" t="s">
        <v>143</v>
      </c>
      <c r="X28" s="76" t="s">
        <v>144</v>
      </c>
      <c r="Y28" s="76" t="s">
        <v>205</v>
      </c>
      <c r="AC28" s="77"/>
      <c r="AD28" s="76" t="s">
        <v>143</v>
      </c>
      <c r="AE28" s="76" t="s">
        <v>144</v>
      </c>
      <c r="AF28" s="76" t="s">
        <v>205</v>
      </c>
    </row>
    <row r="29" spans="1:57" ht="15" customHeight="1" x14ac:dyDescent="0.25">
      <c r="A29" s="12"/>
      <c r="B29" s="77" t="s">
        <v>145</v>
      </c>
      <c r="C29" s="5">
        <f>(5.3/2)</f>
        <v>2.65</v>
      </c>
      <c r="D29" s="5">
        <f>'Carichi unitari'!$P$25</f>
        <v>10.056335000000001</v>
      </c>
      <c r="E29" s="5">
        <f>'Carichi unitari'!$M$25</f>
        <v>6.0279500000000006</v>
      </c>
      <c r="G29" s="77" t="s">
        <v>145</v>
      </c>
      <c r="H29" s="5">
        <f>(5.3/2)</f>
        <v>2.65</v>
      </c>
      <c r="I29" s="5">
        <f>'Carichi unitari'!$P$25</f>
        <v>10.056335000000001</v>
      </c>
      <c r="J29" s="5">
        <f>'Carichi unitari'!$M$25</f>
        <v>6.0279500000000006</v>
      </c>
      <c r="L29" s="77" t="s">
        <v>145</v>
      </c>
      <c r="M29" s="5">
        <v>0</v>
      </c>
      <c r="N29" s="5">
        <f>'Carichi unitari'!$P$25</f>
        <v>10.056335000000001</v>
      </c>
      <c r="O29" s="5">
        <f>'Carichi unitari'!$M$25</f>
        <v>6.0279500000000006</v>
      </c>
      <c r="Q29" s="77" t="s">
        <v>145</v>
      </c>
      <c r="R29" s="5">
        <f>(5.3/2)</f>
        <v>2.65</v>
      </c>
      <c r="S29" s="5">
        <f>'Carichi unitari'!$P$25</f>
        <v>10.056335000000001</v>
      </c>
      <c r="T29" s="5">
        <f>'Carichi unitari'!$M$25</f>
        <v>6.0279500000000006</v>
      </c>
      <c r="V29" s="77" t="s">
        <v>145</v>
      </c>
      <c r="W29" s="5">
        <f>(5.3/2)</f>
        <v>2.65</v>
      </c>
      <c r="X29" s="5">
        <f>'Carichi unitari'!$P$25</f>
        <v>10.056335000000001</v>
      </c>
      <c r="Y29" s="5">
        <f>'Carichi unitari'!$M$25</f>
        <v>6.0279500000000006</v>
      </c>
      <c r="AC29" s="77" t="s">
        <v>145</v>
      </c>
      <c r="AD29" s="5">
        <v>0.5</v>
      </c>
      <c r="AE29" s="5">
        <f>'Carichi unitari'!$P$25</f>
        <v>10.056335000000001</v>
      </c>
      <c r="AF29" s="5">
        <f>'Carichi unitari'!$M$25</f>
        <v>6.0279500000000006</v>
      </c>
    </row>
    <row r="30" spans="1:57" ht="15" customHeight="1" x14ac:dyDescent="0.25">
      <c r="A30" s="12"/>
      <c r="B30" s="77" t="s">
        <v>146</v>
      </c>
      <c r="C30" s="5">
        <v>0</v>
      </c>
      <c r="D30" s="5">
        <f>'Carichi unitari'!$P$27</f>
        <v>10.560335</v>
      </c>
      <c r="E30" s="5">
        <f>'Carichi unitari'!$M$27</f>
        <v>5.9079499999999996</v>
      </c>
      <c r="G30" s="77" t="s">
        <v>146</v>
      </c>
      <c r="H30" s="5">
        <v>1.5</v>
      </c>
      <c r="I30" s="5">
        <f>'Carichi unitari'!$P$27</f>
        <v>10.560335</v>
      </c>
      <c r="J30" s="5">
        <f>'Carichi unitari'!$M$27</f>
        <v>5.9079499999999996</v>
      </c>
      <c r="L30" s="77" t="s">
        <v>146</v>
      </c>
      <c r="M30" s="5">
        <v>0</v>
      </c>
      <c r="N30" s="5">
        <f>'Carichi unitari'!$P$27</f>
        <v>10.560335</v>
      </c>
      <c r="O30" s="5">
        <f>'Carichi unitari'!$M$27</f>
        <v>5.9079499999999996</v>
      </c>
      <c r="Q30" s="77" t="s">
        <v>146</v>
      </c>
      <c r="R30" s="5">
        <v>1.5</v>
      </c>
      <c r="S30" s="5">
        <f>'Carichi unitari'!$P$27</f>
        <v>10.560335</v>
      </c>
      <c r="T30" s="5">
        <f>'Carichi unitari'!$M$27</f>
        <v>5.9079499999999996</v>
      </c>
      <c r="V30" s="77" t="s">
        <v>146</v>
      </c>
      <c r="W30" s="5">
        <v>0</v>
      </c>
      <c r="X30" s="5">
        <f>'Carichi unitari'!$P$27</f>
        <v>10.560335</v>
      </c>
      <c r="Y30" s="5">
        <f>'Carichi unitari'!$M$27</f>
        <v>5.9079499999999996</v>
      </c>
      <c r="AC30" s="77" t="s">
        <v>146</v>
      </c>
      <c r="AD30" s="5">
        <v>0</v>
      </c>
      <c r="AE30" s="5">
        <f>'Carichi unitari'!$P$27</f>
        <v>10.560335</v>
      </c>
      <c r="AF30" s="5">
        <f>'Carichi unitari'!$M$27</f>
        <v>5.9079499999999996</v>
      </c>
    </row>
    <row r="31" spans="1:57" x14ac:dyDescent="0.25">
      <c r="A31" s="12"/>
      <c r="B31" s="77" t="s">
        <v>148</v>
      </c>
      <c r="C31" s="5">
        <v>0</v>
      </c>
      <c r="D31" s="5">
        <f>'Carichi unitari'!$P$28</f>
        <v>17.240725948587251</v>
      </c>
      <c r="E31" s="5">
        <f>'Carichi unitari'!$M$28</f>
        <v>11.04671226814404</v>
      </c>
      <c r="G31" s="77" t="s">
        <v>148</v>
      </c>
      <c r="H31" s="5">
        <v>0</v>
      </c>
      <c r="I31" s="5">
        <f>'Carichi unitari'!$P$28</f>
        <v>17.240725948587251</v>
      </c>
      <c r="J31" s="5">
        <f>'Carichi unitari'!$M$28</f>
        <v>11.04671226814404</v>
      </c>
      <c r="L31" s="77" t="s">
        <v>148</v>
      </c>
      <c r="M31" s="5">
        <f>(5.5/2)</f>
        <v>2.75</v>
      </c>
      <c r="N31" s="5">
        <f>'Carichi unitari'!$P$28</f>
        <v>17.240725948587251</v>
      </c>
      <c r="O31" s="5">
        <f>'Carichi unitari'!$M$28</f>
        <v>11.04671226814404</v>
      </c>
      <c r="Q31" s="77" t="s">
        <v>148</v>
      </c>
      <c r="R31" s="5">
        <v>0</v>
      </c>
      <c r="S31" s="5">
        <f>'Carichi unitari'!$P$28</f>
        <v>17.240725948587251</v>
      </c>
      <c r="T31" s="5">
        <f>'Carichi unitari'!$M$28</f>
        <v>11.04671226814404</v>
      </c>
      <c r="V31" s="77" t="s">
        <v>148</v>
      </c>
      <c r="W31" s="5">
        <v>0</v>
      </c>
      <c r="X31" s="5">
        <f>'Carichi unitari'!$P$28</f>
        <v>17.240725948587251</v>
      </c>
      <c r="Y31" s="5">
        <f>'Carichi unitari'!$M$28</f>
        <v>11.04671226814404</v>
      </c>
      <c r="AC31" s="77" t="s">
        <v>148</v>
      </c>
      <c r="AD31" s="5">
        <v>0</v>
      </c>
      <c r="AE31" s="5">
        <f>'Carichi unitari'!$P$28</f>
        <v>17.240725948587251</v>
      </c>
      <c r="AF31" s="5">
        <f>'Carichi unitari'!$M$28</f>
        <v>11.04671226814404</v>
      </c>
    </row>
    <row r="32" spans="1:57" x14ac:dyDescent="0.25">
      <c r="A32" s="12"/>
      <c r="B32" s="87" t="s">
        <v>149</v>
      </c>
      <c r="C32" s="87"/>
      <c r="D32" s="5">
        <v>7.8</v>
      </c>
      <c r="E32" s="5">
        <v>6</v>
      </c>
      <c r="G32" s="87" t="s">
        <v>149</v>
      </c>
      <c r="H32" s="87"/>
      <c r="I32" s="5">
        <v>7.8</v>
      </c>
      <c r="J32" s="5">
        <v>6</v>
      </c>
      <c r="L32" s="87" t="s">
        <v>149</v>
      </c>
      <c r="M32" s="87"/>
      <c r="N32" s="5">
        <v>7.8</v>
      </c>
      <c r="O32" s="5">
        <v>6</v>
      </c>
      <c r="Q32" s="87" t="s">
        <v>149</v>
      </c>
      <c r="R32" s="87"/>
      <c r="S32" s="5">
        <v>7.8</v>
      </c>
      <c r="T32" s="5">
        <v>6</v>
      </c>
      <c r="V32" s="87" t="s">
        <v>149</v>
      </c>
      <c r="W32" s="87"/>
      <c r="X32" s="5">
        <v>7.8</v>
      </c>
      <c r="Y32" s="5">
        <v>6</v>
      </c>
      <c r="AC32" s="88" t="s">
        <v>149</v>
      </c>
      <c r="AD32" s="89"/>
      <c r="AE32" s="5">
        <v>7.8</v>
      </c>
      <c r="AF32" s="5">
        <v>6</v>
      </c>
    </row>
    <row r="33" spans="1:32" x14ac:dyDescent="0.25">
      <c r="A33" s="12"/>
      <c r="B33" s="126"/>
      <c r="C33" s="126"/>
      <c r="D33" s="5">
        <f>C29*D29+C30*D30+C31*D31+D32</f>
        <v>34.449287749999996</v>
      </c>
      <c r="E33" s="5">
        <f>C29*E29+C30*E30+C31*E31+E32</f>
        <v>21.9740675</v>
      </c>
      <c r="G33" s="126"/>
      <c r="H33" s="126"/>
      <c r="I33" s="5">
        <f>H29*I29+H30*I30+H31*I31+I32</f>
        <v>50.289790249999996</v>
      </c>
      <c r="J33" s="5">
        <f>H29*J29+H30*J30+H31*J31+J32</f>
        <v>30.8359925</v>
      </c>
      <c r="L33" s="126"/>
      <c r="M33" s="126"/>
      <c r="N33" s="5">
        <f>M29*N29+M30*N30+M31*N31+N32</f>
        <v>55.21199635861494</v>
      </c>
      <c r="O33" s="5">
        <f>M29*O29+M30*O30+M31*O31+O32</f>
        <v>36.378458737396109</v>
      </c>
      <c r="Q33" s="126"/>
      <c r="R33" s="126"/>
      <c r="S33" s="5">
        <f>R29*S29+R30*S30+R31*S31+S32</f>
        <v>50.289790249999996</v>
      </c>
      <c r="T33" s="5">
        <f>R29*T29+R30*T30+R31*T31+T32</f>
        <v>30.8359925</v>
      </c>
      <c r="V33" s="126"/>
      <c r="W33" s="126"/>
      <c r="X33" s="5">
        <f>W29*X29+W30*X30+W31*X31+X32</f>
        <v>34.449287749999996</v>
      </c>
      <c r="Y33" s="5">
        <f>W29*Y29+W30*Y30+W31*Y31+Y32</f>
        <v>21.9740675</v>
      </c>
      <c r="AC33" s="133"/>
      <c r="AD33" s="134"/>
      <c r="AE33" s="5">
        <f>AD29*AE29+AD30*AE30+AD31*AE31+AE32</f>
        <v>12.828167499999999</v>
      </c>
      <c r="AF33" s="5">
        <f>AD29*AF29+AD30*AF30+AD31*AF31+AF32</f>
        <v>9.0139750000000003</v>
      </c>
    </row>
    <row r="34" spans="1:32" x14ac:dyDescent="0.25">
      <c r="A34" s="12"/>
      <c r="B34" s="90" t="s">
        <v>204</v>
      </c>
      <c r="C34" s="90"/>
      <c r="D34" s="5">
        <f>(0.3*0.6*1*25)-0.3*2.8</f>
        <v>3.66</v>
      </c>
      <c r="E34" s="5">
        <f>(0.3*0.6*1*25)-0.3*2.8</f>
        <v>3.66</v>
      </c>
      <c r="G34" s="90" t="s">
        <v>204</v>
      </c>
      <c r="H34" s="90"/>
      <c r="I34" s="5">
        <f>(0.3*0.6*1*25)-0.3*2.8</f>
        <v>3.66</v>
      </c>
      <c r="J34" s="5">
        <f>(0.3*0.6*1*25)-0.3*2.8</f>
        <v>3.66</v>
      </c>
      <c r="L34" s="90" t="s">
        <v>204</v>
      </c>
      <c r="M34" s="90"/>
      <c r="N34" s="5">
        <f>(0.3*0.6*1*25)-0.3*2.8</f>
        <v>3.66</v>
      </c>
      <c r="O34" s="5">
        <f>(0.3*0.6*1*25)-0.3*2.8</f>
        <v>3.66</v>
      </c>
      <c r="Q34" s="90" t="s">
        <v>204</v>
      </c>
      <c r="R34" s="90"/>
      <c r="S34" s="5">
        <f>(0.3*0.6*1*25)-0.3*2.8</f>
        <v>3.66</v>
      </c>
      <c r="T34" s="5">
        <f>(0.3*0.6*1*25)-0.3*2.8</f>
        <v>3.66</v>
      </c>
      <c r="V34" s="90" t="s">
        <v>204</v>
      </c>
      <c r="W34" s="90"/>
      <c r="X34" s="5">
        <f>(0.3*0.6*1*25)-0.3*2.8</f>
        <v>3.66</v>
      </c>
      <c r="Y34" s="5">
        <f>(0.3*0.6*1*25)-0.3*2.8</f>
        <v>3.66</v>
      </c>
      <c r="AC34" s="100" t="s">
        <v>204</v>
      </c>
      <c r="AD34" s="102"/>
      <c r="AE34" s="5">
        <f>(0.3*0.6*1*25)-0.3*2.8</f>
        <v>3.66</v>
      </c>
      <c r="AF34" s="5">
        <f>(0.3*0.6*1*25)-0.3*2.8</f>
        <v>3.66</v>
      </c>
    </row>
    <row r="35" spans="1:32" x14ac:dyDescent="0.25">
      <c r="A35" s="12"/>
      <c r="B35" s="90" t="s">
        <v>112</v>
      </c>
      <c r="C35" s="90"/>
      <c r="D35" s="5">
        <f>SUM(D33:D34)</f>
        <v>38.109287749999993</v>
      </c>
      <c r="E35" s="5">
        <f>SUM(E33:E34)</f>
        <v>25.6340675</v>
      </c>
      <c r="G35" s="90" t="s">
        <v>112</v>
      </c>
      <c r="H35" s="90"/>
      <c r="I35" s="5">
        <f>SUM(I33:I34)</f>
        <v>53.949790249999992</v>
      </c>
      <c r="J35" s="5">
        <f>SUM(J33:J34)</f>
        <v>34.4959925</v>
      </c>
      <c r="L35" s="90" t="s">
        <v>112</v>
      </c>
      <c r="M35" s="90"/>
      <c r="N35" s="5">
        <f>SUM(N33:N34)</f>
        <v>58.871996358614936</v>
      </c>
      <c r="O35" s="5">
        <f>SUM(O33:O34)</f>
        <v>40.038458737396112</v>
      </c>
      <c r="Q35" s="90" t="s">
        <v>112</v>
      </c>
      <c r="R35" s="90"/>
      <c r="S35" s="5">
        <f>SUM(S33:S34)</f>
        <v>53.949790249999992</v>
      </c>
      <c r="T35" s="5">
        <f>SUM(T33:T34)</f>
        <v>34.4959925</v>
      </c>
      <c r="V35" s="90" t="s">
        <v>112</v>
      </c>
      <c r="W35" s="90"/>
      <c r="X35" s="5">
        <f>SUM(X33:X34)</f>
        <v>38.109287749999993</v>
      </c>
      <c r="Y35" s="5">
        <f>SUM(Y33:Y34)</f>
        <v>25.6340675</v>
      </c>
      <c r="AC35" s="100" t="s">
        <v>112</v>
      </c>
      <c r="AD35" s="102"/>
      <c r="AE35" s="5">
        <f>SUM(AE33:AE34)</f>
        <v>16.488167499999999</v>
      </c>
      <c r="AF35" s="5">
        <f>SUM(AF33:AF34)</f>
        <v>12.673975</v>
      </c>
    </row>
    <row r="36" spans="1:32" ht="15.75" x14ac:dyDescent="0.25">
      <c r="B36" s="148"/>
      <c r="C36" s="148"/>
      <c r="D36" s="148"/>
      <c r="E36" s="148"/>
      <c r="F36" s="148"/>
      <c r="G36" s="148"/>
      <c r="H36" s="148"/>
      <c r="I36" s="148"/>
      <c r="J36" s="148"/>
      <c r="K36" s="148"/>
      <c r="L36" s="148"/>
      <c r="M36" s="148"/>
      <c r="N36" s="148"/>
      <c r="O36" s="148"/>
      <c r="P36" s="148"/>
      <c r="Q36" s="148"/>
      <c r="R36" s="148"/>
      <c r="S36" s="148"/>
      <c r="T36" s="148"/>
      <c r="U36" s="148"/>
      <c r="V36" s="148"/>
      <c r="W36" s="148"/>
      <c r="X36" s="148"/>
      <c r="Y36" s="148"/>
      <c r="Z36" s="56"/>
    </row>
    <row r="39" spans="1:32" ht="15" customHeight="1" x14ac:dyDescent="0.25"/>
    <row r="40" spans="1:32" ht="15" customHeight="1" x14ac:dyDescent="0.25"/>
    <row r="41" spans="1:32" ht="15" customHeight="1" x14ac:dyDescent="0.25"/>
    <row r="42" spans="1:32" ht="16.5" customHeight="1" x14ac:dyDescent="0.25"/>
    <row r="43" spans="1:32" ht="16.5" customHeight="1" x14ac:dyDescent="0.25"/>
    <row r="61" spans="1:1" ht="15" customHeight="1" x14ac:dyDescent="0.25"/>
    <row r="62" spans="1:1" x14ac:dyDescent="0.25">
      <c r="A62" s="12"/>
    </row>
    <row r="63" spans="1:1" x14ac:dyDescent="0.25">
      <c r="A63" s="12"/>
    </row>
    <row r="64" spans="1:1" x14ac:dyDescent="0.25">
      <c r="A64" s="12"/>
    </row>
    <row r="65" spans="1:1" x14ac:dyDescent="0.25">
      <c r="A65" s="12"/>
    </row>
    <row r="66" spans="1:1" x14ac:dyDescent="0.25">
      <c r="A66" s="12"/>
    </row>
    <row r="67" spans="1:1" x14ac:dyDescent="0.25">
      <c r="A67" s="12"/>
    </row>
    <row r="68" spans="1:1" x14ac:dyDescent="0.25">
      <c r="A68" s="12"/>
    </row>
    <row r="69" spans="1:1" x14ac:dyDescent="0.25">
      <c r="A69" s="12"/>
    </row>
    <row r="70" spans="1:1" x14ac:dyDescent="0.25">
      <c r="A70" s="12"/>
    </row>
    <row r="71" spans="1:1" x14ac:dyDescent="0.25">
      <c r="A71" s="12"/>
    </row>
  </sheetData>
  <mergeCells count="147">
    <mergeCell ref="AW5:AZ5"/>
    <mergeCell ref="AW20:AX20"/>
    <mergeCell ref="AR12:AS12"/>
    <mergeCell ref="AW12:AX12"/>
    <mergeCell ref="BB22:BC22"/>
    <mergeCell ref="AH11:AI11"/>
    <mergeCell ref="AH13:AI13"/>
    <mergeCell ref="AM10:AN10"/>
    <mergeCell ref="AM11:AN11"/>
    <mergeCell ref="AM13:AN13"/>
    <mergeCell ref="AR10:AS10"/>
    <mergeCell ref="AR11:AS11"/>
    <mergeCell ref="AR13:AS13"/>
    <mergeCell ref="AH5:AK5"/>
    <mergeCell ref="AR5:AU5"/>
    <mergeCell ref="AM5:AP5"/>
    <mergeCell ref="BB23:BC23"/>
    <mergeCell ref="BB15:BE15"/>
    <mergeCell ref="BB5:BE5"/>
    <mergeCell ref="BB20:BC20"/>
    <mergeCell ref="BB21:BC21"/>
    <mergeCell ref="BB12:BC12"/>
    <mergeCell ref="AC12:AD12"/>
    <mergeCell ref="AH22:AI22"/>
    <mergeCell ref="AM22:AN22"/>
    <mergeCell ref="AR20:AS20"/>
    <mergeCell ref="AR21:AS21"/>
    <mergeCell ref="AR22:AS22"/>
    <mergeCell ref="AC5:AF5"/>
    <mergeCell ref="AM15:AP15"/>
    <mergeCell ref="AH15:AK15"/>
    <mergeCell ref="AC27:AF27"/>
    <mergeCell ref="AR15:AU15"/>
    <mergeCell ref="AM12:AN12"/>
    <mergeCell ref="AH12:AI12"/>
    <mergeCell ref="AR23:AS23"/>
    <mergeCell ref="AC32:AD32"/>
    <mergeCell ref="AC33:AD33"/>
    <mergeCell ref="AC34:AD34"/>
    <mergeCell ref="AC35:AD35"/>
    <mergeCell ref="V27:Y27"/>
    <mergeCell ref="V5:Y5"/>
    <mergeCell ref="B10:C10"/>
    <mergeCell ref="G10:H10"/>
    <mergeCell ref="L10:M10"/>
    <mergeCell ref="Q10:R10"/>
    <mergeCell ref="V10:W10"/>
    <mergeCell ref="Q13:R13"/>
    <mergeCell ref="B12:C12"/>
    <mergeCell ref="G12:H12"/>
    <mergeCell ref="L12:M12"/>
    <mergeCell ref="Q12:R12"/>
    <mergeCell ref="V12:W12"/>
    <mergeCell ref="V13:W13"/>
    <mergeCell ref="G13:H13"/>
    <mergeCell ref="B5:E5"/>
    <mergeCell ref="G5:J5"/>
    <mergeCell ref="L5:O5"/>
    <mergeCell ref="Q5:T5"/>
    <mergeCell ref="B11:C11"/>
    <mergeCell ref="G11:H11"/>
    <mergeCell ref="L11:M11"/>
    <mergeCell ref="Q11:R11"/>
    <mergeCell ref="G27:J27"/>
    <mergeCell ref="B1:Y2"/>
    <mergeCell ref="B36:Y36"/>
    <mergeCell ref="V21:W21"/>
    <mergeCell ref="B22:C22"/>
    <mergeCell ref="G22:H22"/>
    <mergeCell ref="L22:M22"/>
    <mergeCell ref="V22:W22"/>
    <mergeCell ref="V23:W23"/>
    <mergeCell ref="Q23:R23"/>
    <mergeCell ref="Q24:R24"/>
    <mergeCell ref="B24:C24"/>
    <mergeCell ref="G24:H24"/>
    <mergeCell ref="L24:M24"/>
    <mergeCell ref="V24:W24"/>
    <mergeCell ref="G35:H35"/>
    <mergeCell ref="L27:O27"/>
    <mergeCell ref="L35:M35"/>
    <mergeCell ref="Q27:T27"/>
    <mergeCell ref="Q32:R32"/>
    <mergeCell ref="Q33:R33"/>
    <mergeCell ref="Q34:R34"/>
    <mergeCell ref="Q35:R35"/>
    <mergeCell ref="B34:C34"/>
    <mergeCell ref="B35:C35"/>
    <mergeCell ref="B32:C32"/>
    <mergeCell ref="V32:W32"/>
    <mergeCell ref="V33:W33"/>
    <mergeCell ref="V34:W34"/>
    <mergeCell ref="V35:W35"/>
    <mergeCell ref="G33:H33"/>
    <mergeCell ref="L33:M33"/>
    <mergeCell ref="G34:H34"/>
    <mergeCell ref="L34:M34"/>
    <mergeCell ref="G32:H32"/>
    <mergeCell ref="L32:M32"/>
    <mergeCell ref="B25:Y26"/>
    <mergeCell ref="B14:Y15"/>
    <mergeCell ref="B3:Y4"/>
    <mergeCell ref="AC3:AF4"/>
    <mergeCell ref="AC10:AD10"/>
    <mergeCell ref="AC11:AD11"/>
    <mergeCell ref="AC13:AD13"/>
    <mergeCell ref="AH10:AI10"/>
    <mergeCell ref="Q21:R21"/>
    <mergeCell ref="Q22:R22"/>
    <mergeCell ref="B16:E16"/>
    <mergeCell ref="G16:J16"/>
    <mergeCell ref="B21:C21"/>
    <mergeCell ref="G21:H21"/>
    <mergeCell ref="L16:O16"/>
    <mergeCell ref="Q16:T16"/>
    <mergeCell ref="L21:M21"/>
    <mergeCell ref="B23:C23"/>
    <mergeCell ref="G23:H23"/>
    <mergeCell ref="L23:M23"/>
    <mergeCell ref="B13:C13"/>
    <mergeCell ref="L13:M13"/>
    <mergeCell ref="V11:W11"/>
    <mergeCell ref="V16:Y16"/>
    <mergeCell ref="AC1:BE2"/>
    <mergeCell ref="B27:E27"/>
    <mergeCell ref="B33:C33"/>
    <mergeCell ref="AH3:AK4"/>
    <mergeCell ref="AM3:AP4"/>
    <mergeCell ref="AR3:AU4"/>
    <mergeCell ref="AW3:AZ4"/>
    <mergeCell ref="BB3:BE4"/>
    <mergeCell ref="AH21:AI21"/>
    <mergeCell ref="AH23:AI23"/>
    <mergeCell ref="AH20:AI20"/>
    <mergeCell ref="AW10:AX10"/>
    <mergeCell ref="AW11:AX11"/>
    <mergeCell ref="AW13:AX13"/>
    <mergeCell ref="BB10:BC10"/>
    <mergeCell ref="BB11:BC11"/>
    <mergeCell ref="BB13:BC13"/>
    <mergeCell ref="AM20:AN20"/>
    <mergeCell ref="AM21:AN21"/>
    <mergeCell ref="AM23:AN23"/>
    <mergeCell ref="AW21:AX21"/>
    <mergeCell ref="AW22:AX22"/>
    <mergeCell ref="AW23:AX23"/>
    <mergeCell ref="AW15:AZ1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47"/>
  <sheetViews>
    <sheetView zoomScaleNormal="100" workbookViewId="0">
      <selection activeCell="S9" sqref="S9"/>
    </sheetView>
  </sheetViews>
  <sheetFormatPr defaultRowHeight="15" x14ac:dyDescent="0.25"/>
  <cols>
    <col min="1" max="1" width="9.140625" style="86"/>
    <col min="2" max="2" width="9.140625" style="86" customWidth="1"/>
    <col min="3" max="6" width="9.140625" style="86"/>
    <col min="7" max="7" width="9.140625" style="86" customWidth="1"/>
    <col min="8" max="27" width="9.140625" style="86"/>
    <col min="28" max="28" width="30.5703125" style="86" customWidth="1"/>
    <col min="29" max="16384" width="9.140625" style="86"/>
  </cols>
  <sheetData>
    <row r="2" spans="2:36" ht="18.75" x14ac:dyDescent="0.25">
      <c r="B2" s="135" t="s">
        <v>138</v>
      </c>
      <c r="C2" s="136"/>
      <c r="D2" s="136"/>
      <c r="E2" s="137"/>
      <c r="G2" s="135" t="s">
        <v>139</v>
      </c>
      <c r="H2" s="136"/>
      <c r="I2" s="136"/>
      <c r="J2" s="137"/>
      <c r="L2" s="135" t="s">
        <v>140</v>
      </c>
      <c r="M2" s="136"/>
      <c r="N2" s="136"/>
      <c r="O2" s="137"/>
      <c r="Q2" s="135" t="s">
        <v>141</v>
      </c>
      <c r="R2" s="136"/>
      <c r="S2" s="136"/>
      <c r="T2" s="137"/>
      <c r="V2" s="135" t="s">
        <v>142</v>
      </c>
      <c r="W2" s="136"/>
      <c r="X2" s="136"/>
      <c r="Y2" s="137"/>
      <c r="AA2" s="87" t="s">
        <v>119</v>
      </c>
      <c r="AB2" s="87"/>
      <c r="AC2" s="76" t="s">
        <v>100</v>
      </c>
      <c r="AD2" s="76" t="s">
        <v>101</v>
      </c>
      <c r="AE2" s="76" t="s">
        <v>102</v>
      </c>
      <c r="AF2" s="76" t="s">
        <v>103</v>
      </c>
      <c r="AG2" s="76" t="s">
        <v>248</v>
      </c>
      <c r="AH2" s="76" t="s">
        <v>249</v>
      </c>
      <c r="AI2" s="76" t="s">
        <v>104</v>
      </c>
    </row>
    <row r="3" spans="2:36" x14ac:dyDescent="0.25">
      <c r="B3" s="77"/>
      <c r="C3" s="76" t="s">
        <v>143</v>
      </c>
      <c r="D3" s="76" t="s">
        <v>104</v>
      </c>
      <c r="E3" s="76" t="s">
        <v>163</v>
      </c>
      <c r="G3" s="77"/>
      <c r="H3" s="76" t="s">
        <v>143</v>
      </c>
      <c r="I3" s="76" t="s">
        <v>104</v>
      </c>
      <c r="J3" s="76" t="s">
        <v>163</v>
      </c>
      <c r="L3" s="77"/>
      <c r="M3" s="76" t="s">
        <v>143</v>
      </c>
      <c r="N3" s="76" t="s">
        <v>104</v>
      </c>
      <c r="O3" s="76" t="s">
        <v>163</v>
      </c>
      <c r="Q3" s="77"/>
      <c r="R3" s="76" t="s">
        <v>143</v>
      </c>
      <c r="S3" s="76" t="s">
        <v>104</v>
      </c>
      <c r="T3" s="76" t="s">
        <v>163</v>
      </c>
      <c r="V3" s="77"/>
      <c r="W3" s="76" t="s">
        <v>143</v>
      </c>
      <c r="X3" s="76" t="s">
        <v>104</v>
      </c>
      <c r="Y3" s="76" t="s">
        <v>163</v>
      </c>
      <c r="AA3" s="87" t="s">
        <v>120</v>
      </c>
      <c r="AB3" s="87"/>
      <c r="AC3" s="5">
        <v>3.8279500000000004</v>
      </c>
      <c r="AD3" s="5">
        <v>1.6</v>
      </c>
      <c r="AE3" s="5">
        <v>2</v>
      </c>
      <c r="AF3" s="5">
        <v>6.0279500000000006</v>
      </c>
      <c r="AG3" s="5">
        <v>7.0563350000000016</v>
      </c>
      <c r="AH3" s="5">
        <v>3</v>
      </c>
      <c r="AI3" s="5">
        <v>10.056335000000001</v>
      </c>
    </row>
    <row r="4" spans="2:36" x14ac:dyDescent="0.25">
      <c r="B4" s="77" t="s">
        <v>145</v>
      </c>
      <c r="C4" s="5">
        <f>(3.5/2)*(5.5/2)</f>
        <v>4.8125</v>
      </c>
      <c r="D4" s="5">
        <f>'Carichi unitari'!$P$25</f>
        <v>10.056335000000001</v>
      </c>
      <c r="E4" s="5">
        <f>'Carichi unitari'!$M$25</f>
        <v>6.0279500000000006</v>
      </c>
      <c r="G4" s="77" t="s">
        <v>145</v>
      </c>
      <c r="H4" s="5">
        <f>1.2*(3.5/2)*(5.5/2)+(3.5/2)*(5.5/2)</f>
        <v>10.5875</v>
      </c>
      <c r="I4" s="5">
        <f>'Carichi unitari'!$P$25</f>
        <v>10.056335000000001</v>
      </c>
      <c r="J4" s="5">
        <f>'Carichi unitari'!$M$25</f>
        <v>6.0279500000000006</v>
      </c>
      <c r="L4" s="77" t="s">
        <v>145</v>
      </c>
      <c r="M4" s="5">
        <f>(3.5/2)*(5.5/2)+1.2*(5/2)*(5.5/2)</f>
        <v>13.0625</v>
      </c>
      <c r="N4" s="5">
        <f>'Carichi unitari'!$P$25</f>
        <v>10.056335000000001</v>
      </c>
      <c r="O4" s="5">
        <f>'Carichi unitari'!$M$25</f>
        <v>6.0279500000000006</v>
      </c>
      <c r="Q4" s="77" t="s">
        <v>145</v>
      </c>
      <c r="R4" s="5">
        <f>(5/2)*(5.5/2)</f>
        <v>6.875</v>
      </c>
      <c r="S4" s="5">
        <f>'Carichi unitari'!$P$25</f>
        <v>10.056335000000001</v>
      </c>
      <c r="T4" s="5">
        <f>'Carichi unitari'!$M$25</f>
        <v>6.0279500000000006</v>
      </c>
      <c r="V4" s="77" t="s">
        <v>145</v>
      </c>
      <c r="W4" s="5">
        <f>1.2*(5.5/2)*(3.5/2)+(6/2)*(3.5/2)</f>
        <v>11.024999999999999</v>
      </c>
      <c r="X4" s="5">
        <f>'Carichi unitari'!$P$25</f>
        <v>10.056335000000001</v>
      </c>
      <c r="Y4" s="5">
        <f>'Carichi unitari'!$M$25</f>
        <v>6.0279500000000006</v>
      </c>
      <c r="AA4" s="87" t="s">
        <v>108</v>
      </c>
      <c r="AB4" s="87"/>
      <c r="AC4" s="5">
        <v>3.09795</v>
      </c>
      <c r="AD4" s="5"/>
      <c r="AE4" s="5">
        <v>0.5</v>
      </c>
      <c r="AF4" s="5">
        <v>3.09795</v>
      </c>
      <c r="AG4" s="5">
        <v>4.0273349999999999</v>
      </c>
      <c r="AH4" s="5">
        <v>0.75</v>
      </c>
      <c r="AI4" s="5">
        <v>4.7773349999999999</v>
      </c>
    </row>
    <row r="5" spans="2:36" x14ac:dyDescent="0.25">
      <c r="B5" s="77" t="s">
        <v>146</v>
      </c>
      <c r="C5" s="5">
        <v>0</v>
      </c>
      <c r="D5" s="5">
        <f>'Carichi unitari'!$P$27</f>
        <v>10.560335</v>
      </c>
      <c r="E5" s="5">
        <f>'Carichi unitari'!$M$27</f>
        <v>5.9079499999999996</v>
      </c>
      <c r="G5" s="77" t="s">
        <v>146</v>
      </c>
      <c r="H5" s="5">
        <v>0</v>
      </c>
      <c r="I5" s="5">
        <f>'Carichi unitari'!$P$27</f>
        <v>10.560335</v>
      </c>
      <c r="J5" s="5">
        <f>'Carichi unitari'!$M$27</f>
        <v>5.9079499999999996</v>
      </c>
      <c r="L5" s="77" t="s">
        <v>146</v>
      </c>
      <c r="M5" s="5">
        <f>1.5*1.2*(5/2)</f>
        <v>4.5</v>
      </c>
      <c r="N5" s="5">
        <f>'Carichi unitari'!$P$27</f>
        <v>10.560335</v>
      </c>
      <c r="O5" s="5">
        <f>'Carichi unitari'!$M$27</f>
        <v>5.9079499999999996</v>
      </c>
      <c r="Q5" s="77" t="s">
        <v>146</v>
      </c>
      <c r="R5" s="5">
        <f>1.5*(5/2)+1.5^2+1.5*(5.5/2)</f>
        <v>10.125</v>
      </c>
      <c r="S5" s="5">
        <f>'Carichi unitari'!$P$27</f>
        <v>10.560335</v>
      </c>
      <c r="T5" s="5">
        <f>'Carichi unitari'!$M$27</f>
        <v>5.9079499999999996</v>
      </c>
      <c r="V5" s="77" t="s">
        <v>146</v>
      </c>
      <c r="W5" s="5">
        <v>0</v>
      </c>
      <c r="X5" s="5">
        <f>'Carichi unitari'!$P$27</f>
        <v>10.560335</v>
      </c>
      <c r="Y5" s="5">
        <f>'Carichi unitari'!$M$27</f>
        <v>5.9079499999999996</v>
      </c>
      <c r="AA5" s="87" t="s">
        <v>121</v>
      </c>
      <c r="AB5" s="87"/>
      <c r="AC5" s="5">
        <v>3.5079500000000001</v>
      </c>
      <c r="AD5" s="5"/>
      <c r="AE5" s="5">
        <v>4</v>
      </c>
      <c r="AF5" s="5">
        <v>5.9079499999999996</v>
      </c>
      <c r="AG5" s="5">
        <v>4.5603350000000002</v>
      </c>
      <c r="AH5" s="5">
        <v>6</v>
      </c>
      <c r="AI5" s="5">
        <v>10.560335</v>
      </c>
    </row>
    <row r="6" spans="2:36" x14ac:dyDescent="0.25">
      <c r="B6" s="77" t="s">
        <v>147</v>
      </c>
      <c r="C6" s="5">
        <f>(3.5/2)+(5.5/2)</f>
        <v>4.5</v>
      </c>
      <c r="D6" s="5">
        <f>$AI$10</f>
        <v>4.758</v>
      </c>
      <c r="E6" s="5">
        <f>$AF$10</f>
        <v>3.66</v>
      </c>
      <c r="G6" s="77" t="s">
        <v>147</v>
      </c>
      <c r="H6" s="5">
        <f>1.2*(3.5/2)+(3.5/2)+(5.5/2)</f>
        <v>6.6</v>
      </c>
      <c r="I6" s="5">
        <f>$AI$10</f>
        <v>4.758</v>
      </c>
      <c r="J6" s="5">
        <f>$AF$10</f>
        <v>3.66</v>
      </c>
      <c r="L6" s="77" t="s">
        <v>147</v>
      </c>
      <c r="M6" s="5">
        <f>(3.5/2)+1.2*(5/2)+(5.5/2)</f>
        <v>7.5</v>
      </c>
      <c r="N6" s="5">
        <f>$AI$10</f>
        <v>4.758</v>
      </c>
      <c r="O6" s="5">
        <f>$AF$10</f>
        <v>3.66</v>
      </c>
      <c r="Q6" s="77" t="s">
        <v>147</v>
      </c>
      <c r="R6" s="5">
        <f>(5/2)+(5.5/2)</f>
        <v>5.25</v>
      </c>
      <c r="S6" s="5">
        <f>$AI$10</f>
        <v>4.758</v>
      </c>
      <c r="T6" s="5">
        <f>$AF$10</f>
        <v>3.66</v>
      </c>
      <c r="V6" s="77" t="s">
        <v>147</v>
      </c>
      <c r="W6" s="5">
        <f>1.2*(5.5/2)+(3.5/2)+(6/2)</f>
        <v>8.0500000000000007</v>
      </c>
      <c r="X6" s="5">
        <f>$AI$10</f>
        <v>4.758</v>
      </c>
      <c r="Y6" s="5">
        <f>$AF$10</f>
        <v>3.66</v>
      </c>
      <c r="AA6" s="87" t="s">
        <v>105</v>
      </c>
      <c r="AB6" s="87"/>
      <c r="AC6" s="5">
        <v>8.6467122681440394</v>
      </c>
      <c r="AD6" s="5"/>
      <c r="AE6" s="5">
        <v>4</v>
      </c>
      <c r="AF6" s="5">
        <v>11.04671226814404</v>
      </c>
      <c r="AG6" s="5">
        <v>11.240725948587251</v>
      </c>
      <c r="AH6" s="5">
        <v>6</v>
      </c>
      <c r="AI6" s="5">
        <v>17.240725948587251</v>
      </c>
    </row>
    <row r="7" spans="2:36" x14ac:dyDescent="0.25">
      <c r="B7" s="77" t="s">
        <v>148</v>
      </c>
      <c r="C7" s="5">
        <v>0</v>
      </c>
      <c r="D7" s="5">
        <f>'Carichi unitari'!$P$28</f>
        <v>17.240725948587251</v>
      </c>
      <c r="E7" s="5">
        <f>'Carichi unitari'!$M$28</f>
        <v>11.04671226814404</v>
      </c>
      <c r="G7" s="77" t="s">
        <v>148</v>
      </c>
      <c r="H7" s="5">
        <v>0</v>
      </c>
      <c r="I7" s="5">
        <f>'Carichi unitari'!$P$28</f>
        <v>17.240725948587251</v>
      </c>
      <c r="J7" s="5">
        <f>'Carichi unitari'!$M$28</f>
        <v>11.04671226814404</v>
      </c>
      <c r="L7" s="77" t="s">
        <v>148</v>
      </c>
      <c r="M7" s="5">
        <v>0</v>
      </c>
      <c r="N7" s="5">
        <f>'Carichi unitari'!$P$28</f>
        <v>17.240725948587251</v>
      </c>
      <c r="O7" s="5">
        <f>'Carichi unitari'!$M$28</f>
        <v>11.04671226814404</v>
      </c>
      <c r="Q7" s="77" t="s">
        <v>148</v>
      </c>
      <c r="R7" s="5">
        <v>0</v>
      </c>
      <c r="S7" s="5">
        <f>'Carichi unitari'!$P$28</f>
        <v>17.240725948587251</v>
      </c>
      <c r="T7" s="5">
        <f>'Carichi unitari'!$M$28</f>
        <v>11.04671226814404</v>
      </c>
      <c r="V7" s="77" t="s">
        <v>148</v>
      </c>
      <c r="W7" s="5">
        <v>0</v>
      </c>
      <c r="X7" s="5">
        <f>'Carichi unitari'!$P$28</f>
        <v>17.240725948587251</v>
      </c>
      <c r="Y7" s="5">
        <f>'Carichi unitari'!$M$28</f>
        <v>11.04671226814404</v>
      </c>
      <c r="AA7" s="87" t="s">
        <v>106</v>
      </c>
      <c r="AB7" s="87"/>
      <c r="AC7" s="5">
        <v>6</v>
      </c>
      <c r="AD7" s="5"/>
      <c r="AE7" s="5"/>
      <c r="AF7" s="5">
        <v>6</v>
      </c>
      <c r="AG7" s="5">
        <v>7.8000000000000007</v>
      </c>
      <c r="AH7" s="5"/>
      <c r="AI7" s="5">
        <v>7.8000000000000007</v>
      </c>
    </row>
    <row r="8" spans="2:36" x14ac:dyDescent="0.25">
      <c r="B8" s="77" t="s">
        <v>149</v>
      </c>
      <c r="C8" s="5">
        <v>0</v>
      </c>
      <c r="D8" s="5">
        <f>$AI$7</f>
        <v>7.8000000000000007</v>
      </c>
      <c r="E8" s="5">
        <f>$AF$7</f>
        <v>6</v>
      </c>
      <c r="G8" s="77" t="s">
        <v>149</v>
      </c>
      <c r="H8" s="5">
        <v>0</v>
      </c>
      <c r="I8" s="5">
        <f>$AI$7</f>
        <v>7.8000000000000007</v>
      </c>
      <c r="J8" s="5">
        <f>$AF$7</f>
        <v>6</v>
      </c>
      <c r="L8" s="77" t="s">
        <v>149</v>
      </c>
      <c r="M8" s="5">
        <v>0</v>
      </c>
      <c r="N8" s="5">
        <f>$AI$7</f>
        <v>7.8000000000000007</v>
      </c>
      <c r="O8" s="5">
        <f>$AF$7</f>
        <v>6</v>
      </c>
      <c r="Q8" s="77" t="s">
        <v>149</v>
      </c>
      <c r="R8" s="5">
        <v>0</v>
      </c>
      <c r="S8" s="5">
        <f>$AI$7</f>
        <v>7.8000000000000007</v>
      </c>
      <c r="T8" s="5">
        <f>$AF$7</f>
        <v>6</v>
      </c>
      <c r="V8" s="77" t="s">
        <v>149</v>
      </c>
      <c r="W8" s="5">
        <v>0</v>
      </c>
      <c r="X8" s="5">
        <f>$AI$7</f>
        <v>7.8000000000000007</v>
      </c>
      <c r="Y8" s="5">
        <f>$AF$7</f>
        <v>6</v>
      </c>
      <c r="AA8" s="87" t="s">
        <v>271</v>
      </c>
      <c r="AB8" s="87"/>
      <c r="AC8" s="5">
        <f>(0.3*0.6*1*25)-0.3*2.8</f>
        <v>3.66</v>
      </c>
      <c r="AD8" s="5"/>
      <c r="AE8" s="5"/>
      <c r="AF8" s="5">
        <f>AC8</f>
        <v>3.66</v>
      </c>
      <c r="AG8" s="5">
        <f>AC8*AJ13</f>
        <v>4.758</v>
      </c>
      <c r="AH8" s="5"/>
      <c r="AI8" s="5">
        <f>AG8</f>
        <v>4.758</v>
      </c>
    </row>
    <row r="9" spans="2:36" x14ac:dyDescent="0.25">
      <c r="B9" s="133"/>
      <c r="C9" s="134"/>
      <c r="D9" s="5">
        <f>C$4*D4+C$5*D5+C$6*D6+C$7*D7+C$8*D8</f>
        <v>69.807112187499996</v>
      </c>
      <c r="E9" s="5">
        <f>C$4*E4+C$5*E5+C$6*E6+C$7*E7+C$8*E8</f>
        <v>45.479509375000006</v>
      </c>
      <c r="G9" s="133"/>
      <c r="H9" s="134"/>
      <c r="I9" s="5">
        <f>H$4*I4+H$5*I5+H$6*I6+H$7*I7+H$8*I8</f>
        <v>137.87424681250002</v>
      </c>
      <c r="J9" s="5">
        <f>H$4*J4+H$5*J5+H$6*J6+H$7*J7+H$8*J8</f>
        <v>87.976920625000005</v>
      </c>
      <c r="L9" s="133"/>
      <c r="M9" s="134"/>
      <c r="N9" s="5">
        <f>M$4*N4+M$5*N5+M$6*N6+M$7*N7+M$8*N8</f>
        <v>214.56738343749998</v>
      </c>
      <c r="O9" s="5">
        <f>M$4*O4+M$5*O5+M$6*O6+M$7*O7+M$8*O8</f>
        <v>132.77587187500001</v>
      </c>
      <c r="Q9" s="133"/>
      <c r="R9" s="134"/>
      <c r="S9" s="5">
        <f>R$4*S4+R$5*S5+R$6*S6+R$7*S7+R$8*S8</f>
        <v>201.04019500000001</v>
      </c>
      <c r="T9" s="5">
        <f>R$4*T4+R$5*T5+R$6*T6+R$7*T7+R$8*T8</f>
        <v>120.47515000000001</v>
      </c>
      <c r="V9" s="133"/>
      <c r="W9" s="134"/>
      <c r="X9" s="5">
        <f>W$4*X4+W$5*X5+W$6*X6+W$7*X7+W$8*X8</f>
        <v>149.17299337499998</v>
      </c>
      <c r="Y9" s="5">
        <f>W$4*Y4+W$5*Y5+W$6*Y6+W$7*Y7+W$8*Y8</f>
        <v>95.92114875</v>
      </c>
      <c r="AA9" s="87" t="s">
        <v>253</v>
      </c>
      <c r="AB9" s="87"/>
      <c r="AC9" s="5">
        <f>0.3*0.8*(3.2-0.22)*25</f>
        <v>17.88</v>
      </c>
      <c r="AD9" s="5"/>
      <c r="AE9" s="5"/>
      <c r="AF9" s="5">
        <f>AC9</f>
        <v>17.88</v>
      </c>
      <c r="AG9" s="5">
        <f>AC9*AJ13</f>
        <v>23.244</v>
      </c>
      <c r="AH9" s="5"/>
      <c r="AI9" s="5">
        <f>$AG$9</f>
        <v>23.244</v>
      </c>
    </row>
    <row r="10" spans="2:36" x14ac:dyDescent="0.25">
      <c r="B10" s="100" t="s">
        <v>150</v>
      </c>
      <c r="C10" s="102"/>
      <c r="D10" s="5">
        <f>$AG$9</f>
        <v>23.244</v>
      </c>
      <c r="E10" s="5">
        <f>$AF$9</f>
        <v>17.88</v>
      </c>
      <c r="G10" s="100" t="s">
        <v>150</v>
      </c>
      <c r="H10" s="102"/>
      <c r="I10" s="5">
        <f>$AG$9</f>
        <v>23.244</v>
      </c>
      <c r="J10" s="5">
        <f>$AF$9</f>
        <v>17.88</v>
      </c>
      <c r="L10" s="100" t="s">
        <v>150</v>
      </c>
      <c r="M10" s="102"/>
      <c r="N10" s="5">
        <f>$AG$9</f>
        <v>23.244</v>
      </c>
      <c r="O10" s="5">
        <f>$AF$9</f>
        <v>17.88</v>
      </c>
      <c r="Q10" s="100" t="s">
        <v>150</v>
      </c>
      <c r="R10" s="102"/>
      <c r="S10" s="5">
        <f>$AG$9</f>
        <v>23.244</v>
      </c>
      <c r="T10" s="5">
        <f>$AF$9</f>
        <v>17.88</v>
      </c>
      <c r="V10" s="100" t="s">
        <v>150</v>
      </c>
      <c r="W10" s="102"/>
      <c r="X10" s="5">
        <f>$AG$9</f>
        <v>23.244</v>
      </c>
      <c r="Y10" s="5">
        <f>$AF$9</f>
        <v>17.88</v>
      </c>
      <c r="AA10" s="87" t="s">
        <v>122</v>
      </c>
      <c r="AB10" s="87"/>
      <c r="AC10" s="5">
        <f>AC8</f>
        <v>3.66</v>
      </c>
      <c r="AD10" s="5"/>
      <c r="AE10" s="5"/>
      <c r="AF10" s="5">
        <f>AF8</f>
        <v>3.66</v>
      </c>
      <c r="AG10" s="5"/>
      <c r="AH10" s="5"/>
      <c r="AI10" s="5">
        <f>AI8</f>
        <v>4.758</v>
      </c>
    </row>
    <row r="11" spans="2:36" x14ac:dyDescent="0.25">
      <c r="B11" s="100" t="s">
        <v>112</v>
      </c>
      <c r="C11" s="102"/>
      <c r="D11" s="5">
        <f>SUM(D9:D10)</f>
        <v>93.051112187499996</v>
      </c>
      <c r="E11" s="5">
        <f>SUM(E9:E10)</f>
        <v>63.359509375000002</v>
      </c>
      <c r="G11" s="100" t="s">
        <v>112</v>
      </c>
      <c r="H11" s="102"/>
      <c r="I11" s="5">
        <f>SUM(I9:I10)</f>
        <v>161.11824681250002</v>
      </c>
      <c r="J11" s="5">
        <f>SUM(J9:J10)</f>
        <v>105.856920625</v>
      </c>
      <c r="L11" s="100" t="s">
        <v>112</v>
      </c>
      <c r="M11" s="102"/>
      <c r="N11" s="5">
        <f>SUM(N9:N10)</f>
        <v>237.81138343749998</v>
      </c>
      <c r="O11" s="5">
        <f>SUM(O9:O10)</f>
        <v>150.655871875</v>
      </c>
      <c r="Q11" s="100" t="s">
        <v>112</v>
      </c>
      <c r="R11" s="102"/>
      <c r="S11" s="5">
        <f>SUM(S9:S10)</f>
        <v>224.28419500000001</v>
      </c>
      <c r="T11" s="5">
        <f>SUM(T9:T10)</f>
        <v>138.35515000000001</v>
      </c>
      <c r="V11" s="100" t="s">
        <v>112</v>
      </c>
      <c r="W11" s="102"/>
      <c r="X11" s="5">
        <f>SUM(X9:X10)</f>
        <v>172.41699337499998</v>
      </c>
      <c r="Y11" s="5">
        <f>SUM(Y9:Y10)</f>
        <v>113.80114875</v>
      </c>
    </row>
    <row r="12" spans="2:36" x14ac:dyDescent="0.25">
      <c r="AG12" s="88" t="s">
        <v>26</v>
      </c>
      <c r="AH12" s="117"/>
      <c r="AI12" s="89"/>
      <c r="AJ12" s="76"/>
    </row>
    <row r="13" spans="2:36" x14ac:dyDescent="0.25">
      <c r="AG13" s="87" t="s">
        <v>27</v>
      </c>
      <c r="AH13" s="87"/>
      <c r="AI13" s="87"/>
      <c r="AJ13" s="2">
        <v>1.3</v>
      </c>
    </row>
    <row r="14" spans="2:36" ht="18.75" x14ac:dyDescent="0.25">
      <c r="B14" s="125" t="s">
        <v>151</v>
      </c>
      <c r="C14" s="125"/>
      <c r="D14" s="125"/>
      <c r="E14" s="125"/>
      <c r="G14" s="125" t="s">
        <v>118</v>
      </c>
      <c r="H14" s="125"/>
      <c r="I14" s="125"/>
      <c r="J14" s="125"/>
      <c r="L14" s="125" t="s">
        <v>152</v>
      </c>
      <c r="M14" s="125"/>
      <c r="N14" s="125"/>
      <c r="O14" s="125"/>
      <c r="Q14" s="125" t="s">
        <v>153</v>
      </c>
      <c r="R14" s="125"/>
      <c r="S14" s="125"/>
      <c r="T14" s="125"/>
      <c r="V14" s="125" t="s">
        <v>154</v>
      </c>
      <c r="W14" s="125"/>
      <c r="X14" s="125"/>
      <c r="Y14" s="125"/>
      <c r="AA14" s="151" t="s">
        <v>40</v>
      </c>
      <c r="AB14" s="152"/>
      <c r="AC14" s="152"/>
      <c r="AD14" s="152"/>
      <c r="AE14" s="153"/>
      <c r="AG14" s="87" t="s">
        <v>28</v>
      </c>
      <c r="AH14" s="87"/>
      <c r="AI14" s="87"/>
      <c r="AJ14" s="2">
        <v>1.5</v>
      </c>
    </row>
    <row r="15" spans="2:36" ht="15" customHeight="1" x14ac:dyDescent="0.25">
      <c r="B15" s="77"/>
      <c r="C15" s="76" t="s">
        <v>143</v>
      </c>
      <c r="D15" s="76" t="s">
        <v>104</v>
      </c>
      <c r="E15" s="76" t="s">
        <v>163</v>
      </c>
      <c r="G15" s="77"/>
      <c r="H15" s="76" t="s">
        <v>143</v>
      </c>
      <c r="I15" s="76" t="s">
        <v>104</v>
      </c>
      <c r="J15" s="76" t="s">
        <v>163</v>
      </c>
      <c r="L15" s="77"/>
      <c r="M15" s="76" t="s">
        <v>143</v>
      </c>
      <c r="N15" s="76" t="s">
        <v>104</v>
      </c>
      <c r="O15" s="76" t="s">
        <v>163</v>
      </c>
      <c r="Q15" s="77"/>
      <c r="R15" s="76" t="s">
        <v>143</v>
      </c>
      <c r="S15" s="76" t="s">
        <v>104</v>
      </c>
      <c r="T15" s="76" t="s">
        <v>163</v>
      </c>
      <c r="V15" s="77"/>
      <c r="W15" s="76" t="s">
        <v>143</v>
      </c>
      <c r="X15" s="76" t="s">
        <v>104</v>
      </c>
      <c r="Y15" s="76" t="s">
        <v>163</v>
      </c>
      <c r="AA15" s="48"/>
      <c r="AB15" s="49"/>
      <c r="AC15" s="75" t="s">
        <v>14</v>
      </c>
      <c r="AD15" s="75" t="s">
        <v>16</v>
      </c>
      <c r="AE15" s="75" t="s">
        <v>15</v>
      </c>
      <c r="AG15" s="87" t="s">
        <v>29</v>
      </c>
      <c r="AH15" s="87"/>
      <c r="AI15" s="87"/>
      <c r="AJ15" s="2">
        <v>1</v>
      </c>
    </row>
    <row r="16" spans="2:36" ht="15" customHeight="1" x14ac:dyDescent="0.25">
      <c r="B16" s="77" t="s">
        <v>145</v>
      </c>
      <c r="C16" s="5">
        <f>1.2*(5.5/2)*1.2*(3.5/2)+1.2*(5.5/2)*(3.5/2)+(3.5/2)*(6/2)+1.2*(3.5/2)*(6/2)</f>
        <v>24.254999999999999</v>
      </c>
      <c r="D16" s="5">
        <f>'Carichi unitari'!$P$25</f>
        <v>10.056335000000001</v>
      </c>
      <c r="E16" s="5">
        <f>'Carichi unitari'!$M$25</f>
        <v>6.0279500000000006</v>
      </c>
      <c r="G16" s="77" t="s">
        <v>145</v>
      </c>
      <c r="H16" s="5">
        <f>(3.5/2)*1.2*(5.5/2)+1.2*(5.5/2)*(5/2)+(3.5/2)*(6/2)</f>
        <v>19.274999999999999</v>
      </c>
      <c r="I16" s="5">
        <f>'Carichi unitari'!$P$25</f>
        <v>10.056335000000001</v>
      </c>
      <c r="J16" s="5">
        <f>'Carichi unitari'!$M$25</f>
        <v>6.0279500000000006</v>
      </c>
      <c r="L16" s="77" t="s">
        <v>145</v>
      </c>
      <c r="M16" s="5">
        <f>1.2*(5.5/2)*(5/2)+(5.3/2)*(3.5/2)</f>
        <v>12.887499999999999</v>
      </c>
      <c r="N16" s="5">
        <f>'Carichi unitari'!$P$25</f>
        <v>10.056335000000001</v>
      </c>
      <c r="O16" s="5">
        <f>'Carichi unitari'!$M$25</f>
        <v>6.0279500000000006</v>
      </c>
      <c r="Q16" s="77" t="s">
        <v>145</v>
      </c>
      <c r="R16" s="5">
        <f>(5.3/2)*(3.5/2)+1.2*(5.3/2)*(3.5/2)</f>
        <v>10.202500000000001</v>
      </c>
      <c r="S16" s="5">
        <f>'Carichi unitari'!$P$25</f>
        <v>10.056335000000001</v>
      </c>
      <c r="T16" s="5">
        <f>'Carichi unitari'!$M$25</f>
        <v>6.0279500000000006</v>
      </c>
      <c r="V16" s="77" t="s">
        <v>145</v>
      </c>
      <c r="W16" s="5">
        <f>(5.3/2)*(3.5/2)</f>
        <v>4.6375000000000002</v>
      </c>
      <c r="X16" s="5">
        <f>'Carichi unitari'!$P$25</f>
        <v>10.056335000000001</v>
      </c>
      <c r="Y16" s="5">
        <f>'Carichi unitari'!$M$25</f>
        <v>6.0279500000000006</v>
      </c>
      <c r="AA16" s="149" t="s">
        <v>18</v>
      </c>
      <c r="AB16" s="150"/>
      <c r="AC16" s="64">
        <v>0.7</v>
      </c>
      <c r="AD16" s="64">
        <v>0.5</v>
      </c>
      <c r="AE16" s="64">
        <v>0.3</v>
      </c>
    </row>
    <row r="17" spans="2:31" ht="15" customHeight="1" x14ac:dyDescent="0.25">
      <c r="B17" s="77" t="s">
        <v>146</v>
      </c>
      <c r="C17" s="5">
        <v>0</v>
      </c>
      <c r="D17" s="5">
        <f>'Carichi unitari'!$P$27</f>
        <v>10.560335</v>
      </c>
      <c r="E17" s="5">
        <f>'Carichi unitari'!$M$27</f>
        <v>5.9079499999999996</v>
      </c>
      <c r="G17" s="77" t="s">
        <v>146</v>
      </c>
      <c r="H17" s="5">
        <v>0</v>
      </c>
      <c r="I17" s="5">
        <f>'Carichi unitari'!$P$27</f>
        <v>10.560335</v>
      </c>
      <c r="J17" s="5">
        <f>'Carichi unitari'!$M$27</f>
        <v>5.9079499999999996</v>
      </c>
      <c r="L17" s="77" t="s">
        <v>146</v>
      </c>
      <c r="M17" s="5">
        <f>1.2*(5.5/2)*1.5+(3.8/2)*1.5</f>
        <v>7.7999999999999989</v>
      </c>
      <c r="N17" s="5">
        <f>'Carichi unitari'!$P$27</f>
        <v>10.560335</v>
      </c>
      <c r="O17" s="5">
        <f>'Carichi unitari'!$M$27</f>
        <v>5.9079499999999996</v>
      </c>
      <c r="Q17" s="77" t="s">
        <v>146</v>
      </c>
      <c r="R17" s="5">
        <f>(3.8/2)*1.5</f>
        <v>2.8499999999999996</v>
      </c>
      <c r="S17" s="5">
        <f>'Carichi unitari'!$P$27</f>
        <v>10.560335</v>
      </c>
      <c r="T17" s="5">
        <f>'Carichi unitari'!$M$27</f>
        <v>5.9079499999999996</v>
      </c>
      <c r="V17" s="77" t="s">
        <v>146</v>
      </c>
      <c r="W17" s="5">
        <v>0</v>
      </c>
      <c r="X17" s="5">
        <f>'Carichi unitari'!$P$27</f>
        <v>10.560335</v>
      </c>
      <c r="Y17" s="5">
        <f>'Carichi unitari'!$M$27</f>
        <v>5.9079499999999996</v>
      </c>
      <c r="AA17" s="149" t="s">
        <v>17</v>
      </c>
      <c r="AB17" s="150"/>
      <c r="AC17" s="64">
        <v>0.7</v>
      </c>
      <c r="AD17" s="64">
        <v>0.5</v>
      </c>
      <c r="AE17" s="64">
        <v>0.3</v>
      </c>
    </row>
    <row r="18" spans="2:31" ht="15" customHeight="1" x14ac:dyDescent="0.25">
      <c r="B18" s="77" t="s">
        <v>147</v>
      </c>
      <c r="C18" s="5">
        <f>1.2*(5.5/2)+1.2*(3.5/2)+(3.5/2)+(6/2)</f>
        <v>10.15</v>
      </c>
      <c r="D18" s="5">
        <f>$AI$10</f>
        <v>4.758</v>
      </c>
      <c r="E18" s="5">
        <f>$AF$10</f>
        <v>3.66</v>
      </c>
      <c r="G18" s="77" t="s">
        <v>147</v>
      </c>
      <c r="H18" s="5">
        <f>(3.5/2)+1.2*(5.5/2)+(5/2)+(6/2)</f>
        <v>10.55</v>
      </c>
      <c r="I18" s="5">
        <f>$AI$10</f>
        <v>4.758</v>
      </c>
      <c r="J18" s="5">
        <f>$AF$10</f>
        <v>3.66</v>
      </c>
      <c r="L18" s="77" t="s">
        <v>147</v>
      </c>
      <c r="M18" s="5">
        <f>1.2*(5.5/2)+(5/2)+(3.5/2)+(5.3/2)</f>
        <v>10.199999999999999</v>
      </c>
      <c r="N18" s="5">
        <f>$AI$10</f>
        <v>4.758</v>
      </c>
      <c r="O18" s="5">
        <f>$AF$10</f>
        <v>3.66</v>
      </c>
      <c r="Q18" s="77" t="s">
        <v>147</v>
      </c>
      <c r="R18" s="5">
        <f>(5.3/2)+1.2*(5.3/2)+(3.5/2)</f>
        <v>7.58</v>
      </c>
      <c r="S18" s="5">
        <f>$AI$10</f>
        <v>4.758</v>
      </c>
      <c r="T18" s="5">
        <f>$AF$10</f>
        <v>3.66</v>
      </c>
      <c r="V18" s="77" t="s">
        <v>147</v>
      </c>
      <c r="W18" s="5">
        <f>(5.3/2)+(3.5/2)</f>
        <v>4.4000000000000004</v>
      </c>
      <c r="X18" s="5">
        <f>$AI$10</f>
        <v>4.758</v>
      </c>
      <c r="Y18" s="5">
        <f>$AF$10</f>
        <v>3.66</v>
      </c>
      <c r="AA18" s="149" t="s">
        <v>19</v>
      </c>
      <c r="AB18" s="150"/>
      <c r="AC18" s="64">
        <v>0.7</v>
      </c>
      <c r="AD18" s="64">
        <v>0.7</v>
      </c>
      <c r="AE18" s="64">
        <v>0.6</v>
      </c>
    </row>
    <row r="19" spans="2:31" x14ac:dyDescent="0.25">
      <c r="B19" s="77" t="s">
        <v>148</v>
      </c>
      <c r="C19" s="5">
        <v>0</v>
      </c>
      <c r="D19" s="5">
        <f>'Carichi unitari'!$P$28</f>
        <v>17.240725948587251</v>
      </c>
      <c r="E19" s="5">
        <f>'Carichi unitari'!$M$28</f>
        <v>11.04671226814404</v>
      </c>
      <c r="G19" s="77" t="s">
        <v>148</v>
      </c>
      <c r="H19" s="5">
        <f>(6/2)*(5/2)</f>
        <v>7.5</v>
      </c>
      <c r="I19" s="5">
        <f>'Carichi unitari'!$P$28</f>
        <v>17.240725948587251</v>
      </c>
      <c r="J19" s="5">
        <f>'Carichi unitari'!$M$28</f>
        <v>11.04671226814404</v>
      </c>
      <c r="L19" s="77" t="s">
        <v>148</v>
      </c>
      <c r="M19" s="5">
        <f>(5/2)*(3.5/2)</f>
        <v>4.375</v>
      </c>
      <c r="N19" s="5">
        <f>'Carichi unitari'!$P$28</f>
        <v>17.240725948587251</v>
      </c>
      <c r="O19" s="5">
        <f>'Carichi unitari'!$M$28</f>
        <v>11.04671226814404</v>
      </c>
      <c r="Q19" s="77" t="s">
        <v>148</v>
      </c>
      <c r="R19" s="5">
        <v>0</v>
      </c>
      <c r="S19" s="5">
        <f>'Carichi unitari'!$P$28</f>
        <v>17.240725948587251</v>
      </c>
      <c r="T19" s="5">
        <f>'Carichi unitari'!$M$28</f>
        <v>11.04671226814404</v>
      </c>
      <c r="V19" s="77" t="s">
        <v>148</v>
      </c>
      <c r="W19" s="5">
        <v>0</v>
      </c>
      <c r="X19" s="5">
        <f>'Carichi unitari'!$P$28</f>
        <v>17.240725948587251</v>
      </c>
      <c r="Y19" s="5">
        <f>'Carichi unitari'!$M$28</f>
        <v>11.04671226814404</v>
      </c>
      <c r="AA19" s="149" t="s">
        <v>20</v>
      </c>
      <c r="AB19" s="150"/>
      <c r="AC19" s="64">
        <v>0.7</v>
      </c>
      <c r="AD19" s="64">
        <v>0.7</v>
      </c>
      <c r="AE19" s="64">
        <v>0.6</v>
      </c>
    </row>
    <row r="20" spans="2:31" x14ac:dyDescent="0.25">
      <c r="B20" s="77" t="s">
        <v>149</v>
      </c>
      <c r="C20" s="5">
        <v>0</v>
      </c>
      <c r="D20" s="5">
        <f>$AI$7</f>
        <v>7.8000000000000007</v>
      </c>
      <c r="E20" s="5">
        <f>$AF$7</f>
        <v>6</v>
      </c>
      <c r="G20" s="77" t="s">
        <v>149</v>
      </c>
      <c r="H20" s="5">
        <v>0</v>
      </c>
      <c r="I20" s="5">
        <f>$AI$7</f>
        <v>7.8000000000000007</v>
      </c>
      <c r="J20" s="5">
        <f>$AF$7</f>
        <v>6</v>
      </c>
      <c r="L20" s="77" t="s">
        <v>149</v>
      </c>
      <c r="M20" s="5">
        <v>0</v>
      </c>
      <c r="N20" s="5">
        <f>$AI$7</f>
        <v>7.8000000000000007</v>
      </c>
      <c r="O20" s="5">
        <f>$AF$7</f>
        <v>6</v>
      </c>
      <c r="Q20" s="77" t="s">
        <v>149</v>
      </c>
      <c r="R20" s="5">
        <v>0</v>
      </c>
      <c r="S20" s="5">
        <f>$AI$7</f>
        <v>7.8000000000000007</v>
      </c>
      <c r="T20" s="5">
        <f>$AF$7</f>
        <v>6</v>
      </c>
      <c r="V20" s="77" t="s">
        <v>149</v>
      </c>
      <c r="W20" s="5">
        <v>0</v>
      </c>
      <c r="X20" s="5">
        <f>$AI$7</f>
        <v>7.8000000000000007</v>
      </c>
      <c r="Y20" s="5">
        <f>$AF$7</f>
        <v>6</v>
      </c>
      <c r="AA20" s="149" t="s">
        <v>21</v>
      </c>
      <c r="AB20" s="150"/>
      <c r="AC20" s="64">
        <v>1</v>
      </c>
      <c r="AD20" s="64">
        <v>0.9</v>
      </c>
      <c r="AE20" s="64">
        <v>0.8</v>
      </c>
    </row>
    <row r="21" spans="2:31" x14ac:dyDescent="0.25">
      <c r="B21" s="126"/>
      <c r="C21" s="126"/>
      <c r="D21" s="5">
        <f>C$16*D16+C$17*D17+C$18*D18+C$19*D19+C$20*D20</f>
        <v>292.21010542499999</v>
      </c>
      <c r="E21" s="5">
        <f>C$16*E16+C$17*E17+C$18*E18+C$19*E19+C$20*E20</f>
        <v>183.35692725000001</v>
      </c>
      <c r="G21" s="126"/>
      <c r="H21" s="126"/>
      <c r="I21" s="5">
        <f>H$16*I16+H$17*I17+H$19*I18+H$18*I19+H$20*I20</f>
        <v>411.41051588259552</v>
      </c>
      <c r="J21" s="5">
        <f>H$16*J16+H$17*J17+H$19*J18+H$18*J19+H$20*J20</f>
        <v>260.18155067891962</v>
      </c>
      <c r="L21" s="126"/>
      <c r="M21" s="126"/>
      <c r="N21" s="5">
        <f>M$16*N16+M$17*N17+M$18*N18+M$19*N19+M$20*N20</f>
        <v>335.93140633756923</v>
      </c>
      <c r="O21" s="5">
        <f>M$16*O16+M$17*O17+M$18*O18+M$19*O19+M$20*O20</f>
        <v>209.42858179813018</v>
      </c>
      <c r="Q21" s="126"/>
      <c r="R21" s="126"/>
      <c r="S21" s="5">
        <f>R$16*S16+R$17*S17+R$18*S18+R$19*S19+R$20*S20</f>
        <v>168.7623525875</v>
      </c>
      <c r="T21" s="5">
        <f>R$16*T16+R$17*T17+R$18*T18+R$19*T19+R$20*T20</f>
        <v>106.080617375</v>
      </c>
      <c r="V21" s="126"/>
      <c r="W21" s="126"/>
      <c r="X21" s="5">
        <f>W$16*X16+W$17*X17+W$18*X18+W$19*X19+W$20*X20</f>
        <v>67.571453562500011</v>
      </c>
      <c r="Y21" s="5">
        <f>W$16*Y16+W$17*Y17+W$18*Y18+W$19*Y19+W$20*Y20</f>
        <v>44.05861812500001</v>
      </c>
      <c r="AA21" s="149" t="s">
        <v>250</v>
      </c>
      <c r="AB21" s="150"/>
      <c r="AC21" s="65">
        <v>0.7</v>
      </c>
      <c r="AD21" s="65">
        <v>0.7</v>
      </c>
      <c r="AE21" s="65">
        <v>0.6</v>
      </c>
    </row>
    <row r="22" spans="2:31" x14ac:dyDescent="0.25">
      <c r="B22" s="90" t="s">
        <v>150</v>
      </c>
      <c r="C22" s="90"/>
      <c r="D22" s="5">
        <f>$AG$9</f>
        <v>23.244</v>
      </c>
      <c r="E22" s="5">
        <f>$AF$9</f>
        <v>17.88</v>
      </c>
      <c r="G22" s="90" t="s">
        <v>150</v>
      </c>
      <c r="H22" s="90"/>
      <c r="I22" s="5">
        <f>$AG$9</f>
        <v>23.244</v>
      </c>
      <c r="J22" s="5">
        <f>$AF$9</f>
        <v>17.88</v>
      </c>
      <c r="L22" s="90" t="s">
        <v>150</v>
      </c>
      <c r="M22" s="90"/>
      <c r="N22" s="5">
        <f>$AG$9</f>
        <v>23.244</v>
      </c>
      <c r="O22" s="5">
        <f>$AF$9</f>
        <v>17.88</v>
      </c>
      <c r="Q22" s="90" t="s">
        <v>150</v>
      </c>
      <c r="R22" s="90"/>
      <c r="S22" s="5">
        <f>$AG$9</f>
        <v>23.244</v>
      </c>
      <c r="T22" s="5">
        <f>$AF$9</f>
        <v>17.88</v>
      </c>
      <c r="V22" s="90" t="s">
        <v>150</v>
      </c>
      <c r="W22" s="90"/>
      <c r="X22" s="5">
        <f>$AG$9</f>
        <v>23.244</v>
      </c>
      <c r="Y22" s="5">
        <f>$AF$9</f>
        <v>17.88</v>
      </c>
      <c r="AA22" s="149" t="s">
        <v>22</v>
      </c>
      <c r="AB22" s="150"/>
      <c r="AC22" s="65">
        <v>0.7</v>
      </c>
      <c r="AD22" s="65">
        <v>0.5</v>
      </c>
      <c r="AE22" s="65">
        <v>0.3</v>
      </c>
    </row>
    <row r="23" spans="2:31" x14ac:dyDescent="0.25">
      <c r="B23" s="90" t="s">
        <v>112</v>
      </c>
      <c r="C23" s="90"/>
      <c r="D23" s="5">
        <f>SUM(D21:D22)</f>
        <v>315.45410542499997</v>
      </c>
      <c r="E23" s="5">
        <f>SUM(E21:E22)</f>
        <v>201.23692725000001</v>
      </c>
      <c r="G23" s="90" t="s">
        <v>112</v>
      </c>
      <c r="H23" s="90"/>
      <c r="I23" s="5">
        <f>SUM(I21:I22)</f>
        <v>434.65451588259555</v>
      </c>
      <c r="J23" s="5">
        <f>SUM(J21:J22)</f>
        <v>278.06155067891962</v>
      </c>
      <c r="L23" s="90" t="s">
        <v>112</v>
      </c>
      <c r="M23" s="90"/>
      <c r="N23" s="5">
        <f>SUM(N21:N22)</f>
        <v>359.17540633756926</v>
      </c>
      <c r="O23" s="5">
        <f>SUM(O21:O22)</f>
        <v>227.30858179813018</v>
      </c>
      <c r="Q23" s="90" t="s">
        <v>112</v>
      </c>
      <c r="R23" s="90"/>
      <c r="S23" s="5">
        <f>SUM(S21:S22)</f>
        <v>192.0063525875</v>
      </c>
      <c r="T23" s="5">
        <f>SUM(T21:T22)</f>
        <v>123.960617375</v>
      </c>
      <c r="V23" s="90" t="s">
        <v>112</v>
      </c>
      <c r="W23" s="90"/>
      <c r="X23" s="5">
        <f>SUM(X21:X22)</f>
        <v>90.815453562500011</v>
      </c>
      <c r="Y23" s="5">
        <f>SUM(Y21:Y22)</f>
        <v>61.938618125000005</v>
      </c>
      <c r="AA23" s="149" t="s">
        <v>23</v>
      </c>
      <c r="AB23" s="150"/>
      <c r="AC23" s="64">
        <v>0</v>
      </c>
      <c r="AD23" s="64">
        <v>0</v>
      </c>
      <c r="AE23" s="64">
        <v>0</v>
      </c>
    </row>
    <row r="24" spans="2:31" x14ac:dyDescent="0.25">
      <c r="AA24" s="149" t="s">
        <v>24</v>
      </c>
      <c r="AB24" s="150"/>
      <c r="AC24" s="65">
        <v>0.6</v>
      </c>
      <c r="AD24" s="65">
        <v>0.2</v>
      </c>
      <c r="AE24" s="64">
        <v>0</v>
      </c>
    </row>
    <row r="25" spans="2:31" x14ac:dyDescent="0.25">
      <c r="AA25" s="149" t="s">
        <v>251</v>
      </c>
      <c r="AB25" s="150"/>
      <c r="AC25" s="65">
        <v>0.5</v>
      </c>
      <c r="AD25" s="65">
        <v>0.2</v>
      </c>
      <c r="AE25" s="64">
        <v>0</v>
      </c>
    </row>
    <row r="26" spans="2:31" ht="18.75" x14ac:dyDescent="0.25">
      <c r="B26" s="125" t="s">
        <v>155</v>
      </c>
      <c r="C26" s="125"/>
      <c r="D26" s="125"/>
      <c r="E26" s="125"/>
      <c r="G26" s="125" t="s">
        <v>156</v>
      </c>
      <c r="H26" s="125"/>
      <c r="I26" s="125"/>
      <c r="J26" s="125"/>
      <c r="L26" s="125" t="s">
        <v>157</v>
      </c>
      <c r="M26" s="125"/>
      <c r="N26" s="125"/>
      <c r="O26" s="125"/>
      <c r="Q26" s="125" t="s">
        <v>158</v>
      </c>
      <c r="R26" s="125"/>
      <c r="S26" s="125"/>
      <c r="T26" s="125"/>
      <c r="V26" s="125" t="s">
        <v>159</v>
      </c>
      <c r="W26" s="125"/>
      <c r="X26" s="125"/>
      <c r="Y26" s="125"/>
      <c r="AA26" s="149" t="s">
        <v>252</v>
      </c>
      <c r="AB26" s="150"/>
      <c r="AC26" s="65">
        <v>0.7</v>
      </c>
      <c r="AD26" s="65">
        <v>0.5</v>
      </c>
      <c r="AE26" s="64">
        <v>0</v>
      </c>
    </row>
    <row r="27" spans="2:31" x14ac:dyDescent="0.25">
      <c r="B27" s="77"/>
      <c r="C27" s="76" t="s">
        <v>143</v>
      </c>
      <c r="D27" s="76" t="s">
        <v>104</v>
      </c>
      <c r="E27" s="76" t="s">
        <v>163</v>
      </c>
      <c r="G27" s="77"/>
      <c r="H27" s="76" t="s">
        <v>143</v>
      </c>
      <c r="I27" s="76" t="s">
        <v>104</v>
      </c>
      <c r="J27" s="76" t="s">
        <v>163</v>
      </c>
      <c r="L27" s="77"/>
      <c r="M27" s="76" t="s">
        <v>143</v>
      </c>
      <c r="N27" s="76" t="s">
        <v>104</v>
      </c>
      <c r="O27" s="76" t="s">
        <v>163</v>
      </c>
      <c r="Q27" s="77"/>
      <c r="R27" s="76" t="s">
        <v>143</v>
      </c>
      <c r="S27" s="76" t="s">
        <v>104</v>
      </c>
      <c r="T27" s="76" t="s">
        <v>163</v>
      </c>
      <c r="V27" s="77"/>
      <c r="W27" s="76" t="s">
        <v>143</v>
      </c>
      <c r="X27" s="76" t="s">
        <v>104</v>
      </c>
      <c r="Y27" s="76" t="s">
        <v>163</v>
      </c>
      <c r="AA27" s="149" t="s">
        <v>25</v>
      </c>
      <c r="AB27" s="150"/>
      <c r="AC27" s="65">
        <v>0.6</v>
      </c>
      <c r="AD27" s="65">
        <v>0.5</v>
      </c>
      <c r="AE27" s="64">
        <v>0</v>
      </c>
    </row>
    <row r="28" spans="2:31" x14ac:dyDescent="0.25">
      <c r="B28" s="77" t="s">
        <v>145</v>
      </c>
      <c r="C28" s="5">
        <f>(3.5/2)*(5.3/2)+(5.3/2)*(2.5/2)</f>
        <v>7.95</v>
      </c>
      <c r="D28" s="5">
        <f>'Carichi unitari'!$P$25</f>
        <v>10.056335000000001</v>
      </c>
      <c r="E28" s="5">
        <f>'Carichi unitari'!$M$25</f>
        <v>6.0279500000000006</v>
      </c>
      <c r="G28" s="77" t="s">
        <v>145</v>
      </c>
      <c r="H28" s="5">
        <f>1.2*(5.3/2)*1.2*(3.5/2)+1.2*(3.5/2)*1.2*(5.3/2)+1.2*(5.3/2)*(2.5/2)+1.2*(5.3/2)*(2.5/2)</f>
        <v>21.305999999999997</v>
      </c>
      <c r="I28" s="5">
        <f>'Carichi unitari'!$P$25</f>
        <v>10.056335000000001</v>
      </c>
      <c r="J28" s="5">
        <f>'Carichi unitari'!$M$25</f>
        <v>6.0279500000000006</v>
      </c>
      <c r="L28" s="77" t="s">
        <v>145</v>
      </c>
      <c r="M28" s="5">
        <f>(5.3/2)*1.2*(3.5/2)+(5.3/2)*(2.5/2)</f>
        <v>8.8774999999999995</v>
      </c>
      <c r="N28" s="5">
        <f>'Carichi unitari'!$P$25</f>
        <v>10.056335000000001</v>
      </c>
      <c r="O28" s="5">
        <f>'Carichi unitari'!$M$25</f>
        <v>6.0279500000000006</v>
      </c>
      <c r="Q28" s="77" t="s">
        <v>145</v>
      </c>
      <c r="R28" s="5">
        <f>(6/2)*(3.5/2)+(3.5/2)*1.2*(5/2)</f>
        <v>10.5</v>
      </c>
      <c r="S28" s="5">
        <f>'Carichi unitari'!$P$25</f>
        <v>10.056335000000001</v>
      </c>
      <c r="T28" s="5">
        <f>'Carichi unitari'!$M$25</f>
        <v>6.0279500000000006</v>
      </c>
      <c r="V28" s="77" t="s">
        <v>145</v>
      </c>
      <c r="W28" s="5">
        <f>1.2*(3.5/2)*(6/2)+(6/2)*(3.5/2)+(3.5/2)*1.2*(5/2)+1.2*(5/2)*1.2*(3.5/2)</f>
        <v>23.1</v>
      </c>
      <c r="X28" s="5">
        <f>'Carichi unitari'!$P$25</f>
        <v>10.056335000000001</v>
      </c>
      <c r="Y28" s="5">
        <f>'Carichi unitari'!$M$25</f>
        <v>6.0279500000000006</v>
      </c>
    </row>
    <row r="29" spans="2:31" x14ac:dyDescent="0.25">
      <c r="B29" s="77" t="s">
        <v>146</v>
      </c>
      <c r="C29" s="5">
        <v>0</v>
      </c>
      <c r="D29" s="5">
        <f>'Carichi unitari'!$P$27</f>
        <v>10.560335</v>
      </c>
      <c r="E29" s="5">
        <f>'Carichi unitari'!$M$27</f>
        <v>5.9079499999999996</v>
      </c>
      <c r="G29" s="77" t="s">
        <v>146</v>
      </c>
      <c r="H29" s="5">
        <v>0</v>
      </c>
      <c r="I29" s="5">
        <f>'Carichi unitari'!$P$27</f>
        <v>10.560335</v>
      </c>
      <c r="J29" s="5">
        <f>'Carichi unitari'!$M$27</f>
        <v>5.9079499999999996</v>
      </c>
      <c r="L29" s="77" t="s">
        <v>146</v>
      </c>
      <c r="M29" s="5">
        <v>0</v>
      </c>
      <c r="N29" s="5">
        <f>'Carichi unitari'!$P$27</f>
        <v>10.560335</v>
      </c>
      <c r="O29" s="5">
        <f>'Carichi unitari'!$M$27</f>
        <v>5.9079499999999996</v>
      </c>
      <c r="Q29" s="77" t="s">
        <v>146</v>
      </c>
      <c r="R29" s="5">
        <v>0</v>
      </c>
      <c r="S29" s="5">
        <f>'Carichi unitari'!$P$27</f>
        <v>10.560335</v>
      </c>
      <c r="T29" s="5">
        <f>'Carichi unitari'!$M$27</f>
        <v>5.9079499999999996</v>
      </c>
      <c r="V29" s="77" t="s">
        <v>146</v>
      </c>
      <c r="W29" s="5">
        <v>0</v>
      </c>
      <c r="X29" s="5">
        <f>'Carichi unitari'!$P$27</f>
        <v>10.560335</v>
      </c>
      <c r="Y29" s="5">
        <f>'Carichi unitari'!$M$27</f>
        <v>5.9079499999999996</v>
      </c>
    </row>
    <row r="30" spans="2:31" x14ac:dyDescent="0.25">
      <c r="B30" s="77" t="s">
        <v>147</v>
      </c>
      <c r="C30" s="5">
        <f>(3.5/2)+(2.5/2)+(5.3/2)</f>
        <v>5.65</v>
      </c>
      <c r="D30" s="5">
        <f>$AI$10</f>
        <v>4.758</v>
      </c>
      <c r="E30" s="5">
        <f>$AF$10</f>
        <v>3.66</v>
      </c>
      <c r="G30" s="77" t="s">
        <v>147</v>
      </c>
      <c r="H30" s="5">
        <f>1.2*(5.3/2)+1.2*(3.5/2)+1.2*(5.3/2)+(2.5/2)</f>
        <v>9.7099999999999991</v>
      </c>
      <c r="I30" s="5">
        <f>$AI$10</f>
        <v>4.758</v>
      </c>
      <c r="J30" s="5">
        <f>$AF$10</f>
        <v>3.66</v>
      </c>
      <c r="L30" s="77" t="s">
        <v>147</v>
      </c>
      <c r="M30" s="5">
        <f>(5.3/2)+1.2*(3.5/2)+(2.5/2)</f>
        <v>6</v>
      </c>
      <c r="N30" s="5">
        <f>$AI$10</f>
        <v>4.758</v>
      </c>
      <c r="O30" s="5">
        <f>$AF$10</f>
        <v>3.66</v>
      </c>
      <c r="Q30" s="77" t="s">
        <v>147</v>
      </c>
      <c r="R30" s="5">
        <f>(6/2)+(3.5/2)+1.2*(5/2)</f>
        <v>7.75</v>
      </c>
      <c r="S30" s="5">
        <f>$AI$10</f>
        <v>4.758</v>
      </c>
      <c r="T30" s="5">
        <f>$AF$10</f>
        <v>3.66</v>
      </c>
      <c r="V30" s="77" t="s">
        <v>147</v>
      </c>
      <c r="W30" s="5">
        <f>1.2*(3.5/2)+(6/2)+(3.5/2)+1.2*(5/2)</f>
        <v>9.85</v>
      </c>
      <c r="X30" s="5">
        <f>$AI$10</f>
        <v>4.758</v>
      </c>
      <c r="Y30" s="5">
        <f>$AF$10</f>
        <v>3.66</v>
      </c>
    </row>
    <row r="31" spans="2:31" x14ac:dyDescent="0.25">
      <c r="B31" s="77" t="s">
        <v>148</v>
      </c>
      <c r="C31" s="5">
        <v>0</v>
      </c>
      <c r="D31" s="5">
        <f>'Carichi unitari'!$P$28</f>
        <v>17.240725948587251</v>
      </c>
      <c r="E31" s="5">
        <f>'Carichi unitari'!$M$28</f>
        <v>11.04671226814404</v>
      </c>
      <c r="G31" s="77" t="s">
        <v>148</v>
      </c>
      <c r="H31" s="5">
        <v>0</v>
      </c>
      <c r="I31" s="5">
        <f>'Carichi unitari'!$P$28</f>
        <v>17.240725948587251</v>
      </c>
      <c r="J31" s="5">
        <f>'Carichi unitari'!$M$28</f>
        <v>11.04671226814404</v>
      </c>
      <c r="L31" s="77" t="s">
        <v>148</v>
      </c>
      <c r="M31" s="5">
        <v>0</v>
      </c>
      <c r="N31" s="5">
        <f>'Carichi unitari'!$P$28</f>
        <v>17.240725948587251</v>
      </c>
      <c r="O31" s="5">
        <f>'Carichi unitari'!$M$28</f>
        <v>11.04671226814404</v>
      </c>
      <c r="Q31" s="77" t="s">
        <v>148</v>
      </c>
      <c r="R31" s="5">
        <v>0</v>
      </c>
      <c r="S31" s="5">
        <f>'Carichi unitari'!$P$28</f>
        <v>17.240725948587251</v>
      </c>
      <c r="T31" s="5">
        <f>'Carichi unitari'!$M$28</f>
        <v>11.04671226814404</v>
      </c>
      <c r="V31" s="77" t="s">
        <v>148</v>
      </c>
      <c r="W31" s="5">
        <v>0</v>
      </c>
      <c r="X31" s="5">
        <f>'Carichi unitari'!$P$28</f>
        <v>17.240725948587251</v>
      </c>
      <c r="Y31" s="5">
        <f>'Carichi unitari'!$M$28</f>
        <v>11.04671226814404</v>
      </c>
    </row>
    <row r="32" spans="2:31" x14ac:dyDescent="0.25">
      <c r="B32" s="77" t="s">
        <v>149</v>
      </c>
      <c r="C32" s="5">
        <v>0</v>
      </c>
      <c r="D32" s="5">
        <f>$AI$7</f>
        <v>7.8000000000000007</v>
      </c>
      <c r="E32" s="5">
        <f>$AF$7</f>
        <v>6</v>
      </c>
      <c r="G32" s="77" t="s">
        <v>149</v>
      </c>
      <c r="H32" s="5">
        <v>0</v>
      </c>
      <c r="I32" s="5">
        <f>$AI$7</f>
        <v>7.8000000000000007</v>
      </c>
      <c r="J32" s="5">
        <f>$AF$7</f>
        <v>6</v>
      </c>
      <c r="L32" s="77" t="s">
        <v>149</v>
      </c>
      <c r="M32" s="5">
        <v>0</v>
      </c>
      <c r="N32" s="5">
        <f>$AI$7</f>
        <v>7.8000000000000007</v>
      </c>
      <c r="O32" s="5">
        <f>$AF$7</f>
        <v>6</v>
      </c>
      <c r="Q32" s="77" t="s">
        <v>149</v>
      </c>
      <c r="R32" s="5">
        <v>0</v>
      </c>
      <c r="S32" s="5">
        <f>$AI$7</f>
        <v>7.8000000000000007</v>
      </c>
      <c r="T32" s="5">
        <f>$AF$7</f>
        <v>6</v>
      </c>
      <c r="V32" s="77" t="s">
        <v>149</v>
      </c>
      <c r="W32" s="5">
        <v>0</v>
      </c>
      <c r="X32" s="5">
        <f>$AI$7</f>
        <v>7.8000000000000007</v>
      </c>
      <c r="Y32" s="5">
        <f>$AF$7</f>
        <v>6</v>
      </c>
    </row>
    <row r="33" spans="2:25" x14ac:dyDescent="0.25">
      <c r="B33" s="126"/>
      <c r="C33" s="126"/>
      <c r="D33" s="5">
        <f>C$28*D28+C$29*D29+C$30*D30+C$31*D31+C$32*D32</f>
        <v>106.83056325000001</v>
      </c>
      <c r="E33" s="5">
        <f>C28*E28+C29*E29+C30*E30+C31*E31+C32*E32</f>
        <v>68.601202499999999</v>
      </c>
      <c r="G33" s="126"/>
      <c r="H33" s="126"/>
      <c r="I33" s="5">
        <f>H$28*I28+H$29*I29+H$30*I30+H$31*I31+H$32*I32</f>
        <v>260.46045350999998</v>
      </c>
      <c r="J33" s="5">
        <f>H$28*J28+H$29*J29+H$30*J30+H$31*J31+H$32*J32</f>
        <v>163.97010270000001</v>
      </c>
      <c r="L33" s="126"/>
      <c r="M33" s="126"/>
      <c r="N33" s="5">
        <f>M$28*N28+M$29*N29+M$30*N30+M$31*N31+M$32*N32</f>
        <v>117.8231139625</v>
      </c>
      <c r="O33" s="5">
        <f>M$28*O28+M$29*O29+M$30*O30+M$31*O31+M$32*O32</f>
        <v>75.473126124999993</v>
      </c>
      <c r="Q33" s="126"/>
      <c r="R33" s="126"/>
      <c r="S33" s="5">
        <f>R$28*S28+R$29*S29+R$30*S30+R$31*S31+R$32*S32</f>
        <v>142.46601750000002</v>
      </c>
      <c r="T33" s="5">
        <f>R$28*T28+R$29*T29+R$30*T30+R$31*T31+R$32*T32</f>
        <v>91.65847500000001</v>
      </c>
      <c r="V33" s="126"/>
      <c r="W33" s="126"/>
      <c r="X33" s="5">
        <f>W$28*X28+W$29*X29+W$30*X30+W$31*X31+W$32*X32</f>
        <v>279.16763850000007</v>
      </c>
      <c r="Y33" s="5">
        <f>W$28*Y28+W$29*Y29+W$30*Y30+W$31*Y31+W$32*Y32</f>
        <v>175.29664500000001</v>
      </c>
    </row>
    <row r="34" spans="2:25" x14ac:dyDescent="0.25">
      <c r="B34" s="90" t="s">
        <v>150</v>
      </c>
      <c r="C34" s="90"/>
      <c r="D34" s="5">
        <f>$AG$9</f>
        <v>23.244</v>
      </c>
      <c r="E34" s="5">
        <f>$AF$9</f>
        <v>17.88</v>
      </c>
      <c r="G34" s="90" t="s">
        <v>150</v>
      </c>
      <c r="H34" s="90"/>
      <c r="I34" s="5">
        <f>$AG$9</f>
        <v>23.244</v>
      </c>
      <c r="J34" s="5">
        <f>$AF$9</f>
        <v>17.88</v>
      </c>
      <c r="L34" s="90" t="s">
        <v>150</v>
      </c>
      <c r="M34" s="90"/>
      <c r="N34" s="5">
        <f>$AG$9</f>
        <v>23.244</v>
      </c>
      <c r="O34" s="5">
        <f>$AF$9</f>
        <v>17.88</v>
      </c>
      <c r="Q34" s="90" t="s">
        <v>150</v>
      </c>
      <c r="R34" s="90"/>
      <c r="S34" s="5">
        <f>$AG$9</f>
        <v>23.244</v>
      </c>
      <c r="T34" s="5">
        <f>$AF$9</f>
        <v>17.88</v>
      </c>
      <c r="V34" s="90" t="s">
        <v>150</v>
      </c>
      <c r="W34" s="90"/>
      <c r="X34" s="5">
        <f>$AG$9</f>
        <v>23.244</v>
      </c>
      <c r="Y34" s="5">
        <f>$AF$9</f>
        <v>17.88</v>
      </c>
    </row>
    <row r="35" spans="2:25" x14ac:dyDescent="0.25">
      <c r="B35" s="90" t="s">
        <v>112</v>
      </c>
      <c r="C35" s="90"/>
      <c r="D35" s="5">
        <f>SUM(D33:D34)</f>
        <v>130.07456325000001</v>
      </c>
      <c r="E35" s="5">
        <f>SUM(E33:E34)</f>
        <v>86.481202499999995</v>
      </c>
      <c r="G35" s="90" t="s">
        <v>112</v>
      </c>
      <c r="H35" s="90"/>
      <c r="I35" s="5">
        <f>SUM(I33:I34)</f>
        <v>283.70445351000001</v>
      </c>
      <c r="J35" s="5">
        <f>SUM(J33:J34)</f>
        <v>181.85010270000001</v>
      </c>
      <c r="L35" s="90" t="s">
        <v>112</v>
      </c>
      <c r="M35" s="90"/>
      <c r="N35" s="5">
        <f>SUM(N33:N34)</f>
        <v>141.0671139625</v>
      </c>
      <c r="O35" s="5">
        <f>SUM(O33:O34)</f>
        <v>93.353126124999989</v>
      </c>
      <c r="Q35" s="90" t="s">
        <v>112</v>
      </c>
      <c r="R35" s="90"/>
      <c r="S35" s="5">
        <f>SUM(S33:S34)</f>
        <v>165.71001750000002</v>
      </c>
      <c r="T35" s="5">
        <f>SUM(T33:T34)</f>
        <v>109.53847500000001</v>
      </c>
      <c r="V35" s="90" t="s">
        <v>112</v>
      </c>
      <c r="W35" s="90"/>
      <c r="X35" s="5">
        <f>SUM(X33:X34)</f>
        <v>302.41163850000009</v>
      </c>
      <c r="Y35" s="5">
        <f>SUM(Y33:Y34)</f>
        <v>193.17664500000001</v>
      </c>
    </row>
    <row r="38" spans="2:25" ht="18.75" x14ac:dyDescent="0.25">
      <c r="B38" s="125" t="s">
        <v>160</v>
      </c>
      <c r="C38" s="125"/>
      <c r="D38" s="125"/>
      <c r="E38" s="125"/>
      <c r="G38" s="125" t="s">
        <v>161</v>
      </c>
      <c r="H38" s="125"/>
      <c r="I38" s="125"/>
      <c r="J38" s="125"/>
      <c r="L38" s="125" t="s">
        <v>162</v>
      </c>
      <c r="M38" s="125"/>
      <c r="N38" s="125"/>
      <c r="O38" s="125"/>
    </row>
    <row r="39" spans="2:25" x14ac:dyDescent="0.25">
      <c r="B39" s="77"/>
      <c r="C39" s="76" t="s">
        <v>143</v>
      </c>
      <c r="D39" s="76" t="s">
        <v>104</v>
      </c>
      <c r="E39" s="76" t="s">
        <v>163</v>
      </c>
      <c r="G39" s="77"/>
      <c r="H39" s="76" t="s">
        <v>143</v>
      </c>
      <c r="I39" s="76" t="s">
        <v>104</v>
      </c>
      <c r="J39" s="76" t="s">
        <v>163</v>
      </c>
      <c r="L39" s="77"/>
      <c r="M39" s="76" t="s">
        <v>143</v>
      </c>
      <c r="N39" s="76" t="s">
        <v>104</v>
      </c>
      <c r="O39" s="76" t="s">
        <v>163</v>
      </c>
    </row>
    <row r="40" spans="2:25" x14ac:dyDescent="0.25">
      <c r="B40" s="77" t="s">
        <v>145</v>
      </c>
      <c r="C40" s="5">
        <f>(3.5/2)*(6/2)+(5/2)*1.2*(5/2)+1.2*(5/2)*(3.5/2)</f>
        <v>18</v>
      </c>
      <c r="D40" s="5">
        <f>'Carichi unitari'!$P$25</f>
        <v>10.056335000000001</v>
      </c>
      <c r="E40" s="5">
        <f>'Carichi unitari'!$M$25</f>
        <v>6.0279500000000006</v>
      </c>
      <c r="G40" s="77" t="s">
        <v>145</v>
      </c>
      <c r="H40" s="5">
        <f>(5.3/2)*(2.5/2)+(5.3/2)*1.2*(5/2)+1.2*(5/2)*(5/2)</f>
        <v>18.762499999999999</v>
      </c>
      <c r="I40" s="5">
        <f>'Carichi unitari'!$P$25</f>
        <v>10.056335000000001</v>
      </c>
      <c r="J40" s="5">
        <f>'Carichi unitari'!$M$25</f>
        <v>6.0279500000000006</v>
      </c>
      <c r="L40" s="77" t="s">
        <v>145</v>
      </c>
      <c r="M40" s="5">
        <f>(5.3/2)*(2.5/2)+(2.5/2)*1.2*(5.3/2)+1.2*(5.3/2)*1.2*(5/2)+1.2*(5/2)*(5.3/2)</f>
        <v>24.7775</v>
      </c>
      <c r="N40" s="5">
        <f>'Carichi unitari'!$P$25</f>
        <v>10.056335000000001</v>
      </c>
      <c r="O40" s="5">
        <f>'Carichi unitari'!$M$25</f>
        <v>6.0279500000000006</v>
      </c>
    </row>
    <row r="41" spans="2:25" x14ac:dyDescent="0.25">
      <c r="B41" s="77" t="s">
        <v>146</v>
      </c>
      <c r="C41" s="5">
        <v>0</v>
      </c>
      <c r="D41" s="5">
        <f>'Carichi unitari'!$P$27</f>
        <v>10.560335</v>
      </c>
      <c r="E41" s="5">
        <f>'Carichi unitari'!$M$27</f>
        <v>5.9079499999999996</v>
      </c>
      <c r="G41" s="77" t="s">
        <v>146</v>
      </c>
      <c r="H41" s="5">
        <v>0</v>
      </c>
      <c r="I41" s="5">
        <f>'Carichi unitari'!$P$27</f>
        <v>10.560335</v>
      </c>
      <c r="J41" s="5">
        <f>'Carichi unitari'!$M$27</f>
        <v>5.9079499999999996</v>
      </c>
      <c r="L41" s="77" t="s">
        <v>146</v>
      </c>
      <c r="M41" s="5">
        <v>0</v>
      </c>
      <c r="N41" s="5">
        <f>'Carichi unitari'!$P$27</f>
        <v>10.560335</v>
      </c>
      <c r="O41" s="5">
        <f>'Carichi unitari'!$M$27</f>
        <v>5.9079499999999996</v>
      </c>
    </row>
    <row r="42" spans="2:25" x14ac:dyDescent="0.25">
      <c r="B42" s="77" t="s">
        <v>147</v>
      </c>
      <c r="C42" s="5">
        <f>(3.5/2)+(6/2)+(5/2)+1.2*(5/2)</f>
        <v>10.25</v>
      </c>
      <c r="D42" s="5">
        <f>$AI$10</f>
        <v>4.758</v>
      </c>
      <c r="E42" s="5">
        <f>$AF$10</f>
        <v>3.66</v>
      </c>
      <c r="G42" s="77" t="s">
        <v>147</v>
      </c>
      <c r="H42" s="5">
        <f>(5/2)+(2.5/2)+(5.3/2)+1.2*(5/2)</f>
        <v>9.4</v>
      </c>
      <c r="I42" s="5">
        <f>$AI$10</f>
        <v>4.758</v>
      </c>
      <c r="J42" s="5">
        <f>$AF$10</f>
        <v>3.66</v>
      </c>
      <c r="L42" s="77" t="s">
        <v>147</v>
      </c>
      <c r="M42" s="5">
        <f>(5/2)+(2.5/2)+(5.3/2)+1.2*(5/2)</f>
        <v>9.4</v>
      </c>
      <c r="N42" s="5">
        <f>$AI$10</f>
        <v>4.758</v>
      </c>
      <c r="O42" s="5">
        <f>$AF$10</f>
        <v>3.66</v>
      </c>
    </row>
    <row r="43" spans="2:25" x14ac:dyDescent="0.25">
      <c r="B43" s="77" t="s">
        <v>148</v>
      </c>
      <c r="C43" s="5">
        <f>(6/2)*(5/2)</f>
        <v>7.5</v>
      </c>
      <c r="D43" s="5">
        <f>'Carichi unitari'!$P$28</f>
        <v>17.240725948587251</v>
      </c>
      <c r="E43" s="5">
        <f>'Carichi unitari'!$M$28</f>
        <v>11.04671226814404</v>
      </c>
      <c r="G43" s="77" t="s">
        <v>148</v>
      </c>
      <c r="H43" s="5">
        <f>(5/2)+(2.5/2)</f>
        <v>3.75</v>
      </c>
      <c r="I43" s="5">
        <f>'Carichi unitari'!$P$28</f>
        <v>17.240725948587251</v>
      </c>
      <c r="J43" s="5">
        <f>'Carichi unitari'!$M$28</f>
        <v>11.04671226814404</v>
      </c>
      <c r="L43" s="77" t="s">
        <v>148</v>
      </c>
      <c r="M43" s="5">
        <v>0</v>
      </c>
      <c r="N43" s="5">
        <f>'Carichi unitari'!$P$28</f>
        <v>17.240725948587251</v>
      </c>
      <c r="O43" s="5">
        <f>'Carichi unitari'!$M$28</f>
        <v>11.04671226814404</v>
      </c>
    </row>
    <row r="44" spans="2:25" x14ac:dyDescent="0.25">
      <c r="B44" s="77" t="s">
        <v>149</v>
      </c>
      <c r="C44" s="5">
        <v>0</v>
      </c>
      <c r="D44" s="5">
        <f>$AI$7</f>
        <v>7.8000000000000007</v>
      </c>
      <c r="E44" s="5">
        <f>$AF$7</f>
        <v>6</v>
      </c>
      <c r="G44" s="77" t="s">
        <v>149</v>
      </c>
      <c r="H44" s="5">
        <v>0</v>
      </c>
      <c r="I44" s="5">
        <f>$AI$7</f>
        <v>7.8000000000000007</v>
      </c>
      <c r="J44" s="5">
        <f>$AF$7</f>
        <v>6</v>
      </c>
      <c r="L44" s="77" t="s">
        <v>149</v>
      </c>
      <c r="M44" s="5">
        <v>0</v>
      </c>
      <c r="N44" s="5">
        <f>$AI$7</f>
        <v>7.8000000000000007</v>
      </c>
      <c r="O44" s="5">
        <f>$AF$7</f>
        <v>6</v>
      </c>
    </row>
    <row r="45" spans="2:25" x14ac:dyDescent="0.25">
      <c r="B45" s="126"/>
      <c r="C45" s="126"/>
      <c r="D45" s="5">
        <f>C$40*D40+C$41*D41+C$42*D42+C$43*D43+C$44*D44</f>
        <v>359.08897461440438</v>
      </c>
      <c r="E45" s="5">
        <f>C$40*E40+C$41*E41+C$42*E42+C$43*E43+C$44*E44</f>
        <v>228.8684420110803</v>
      </c>
      <c r="G45" s="126"/>
      <c r="H45" s="126"/>
      <c r="I45" s="5">
        <f>H$40*I40+H$41*I41+H$42*I42+H$43*I43+H$44*I44</f>
        <v>298.05990774470217</v>
      </c>
      <c r="J45" s="5">
        <f>H$40*J40+H$41*J41+H$42*J42+H$43*J43+H$44*J44</f>
        <v>188.92858288054015</v>
      </c>
      <c r="L45" s="126"/>
      <c r="M45" s="126"/>
      <c r="N45" s="5">
        <f>M$40*N40+M$41*N41+M$42*N42+M$43*N43+M$44*N44</f>
        <v>293.89604046250003</v>
      </c>
      <c r="O45" s="5">
        <f>M$40*O40+M$41*O41+M$42*O42+M$43*O43+M$44*O44</f>
        <v>183.761531125</v>
      </c>
    </row>
    <row r="46" spans="2:25" x14ac:dyDescent="0.25">
      <c r="B46" s="90" t="s">
        <v>150</v>
      </c>
      <c r="C46" s="90"/>
      <c r="D46" s="5">
        <f>$AG$9</f>
        <v>23.244</v>
      </c>
      <c r="E46" s="5">
        <f>$AF$9</f>
        <v>17.88</v>
      </c>
      <c r="G46" s="90" t="s">
        <v>150</v>
      </c>
      <c r="H46" s="90"/>
      <c r="I46" s="5">
        <f>$AG$9</f>
        <v>23.244</v>
      </c>
      <c r="J46" s="5">
        <f>$AF$9</f>
        <v>17.88</v>
      </c>
      <c r="L46" s="90" t="s">
        <v>150</v>
      </c>
      <c r="M46" s="90"/>
      <c r="N46" s="5">
        <f>$AG$9</f>
        <v>23.244</v>
      </c>
      <c r="O46" s="5">
        <f>$AF$9</f>
        <v>17.88</v>
      </c>
    </row>
    <row r="47" spans="2:25" x14ac:dyDescent="0.25">
      <c r="B47" s="90" t="s">
        <v>112</v>
      </c>
      <c r="C47" s="90"/>
      <c r="D47" s="5">
        <f>SUM(D45:D46)</f>
        <v>382.33297461440441</v>
      </c>
      <c r="E47" s="5">
        <f>SUM(E45:E46)</f>
        <v>246.7484420110803</v>
      </c>
      <c r="G47" s="90" t="s">
        <v>112</v>
      </c>
      <c r="H47" s="90"/>
      <c r="I47" s="5">
        <f>SUM(I45:I46)</f>
        <v>321.3039077447022</v>
      </c>
      <c r="J47" s="5">
        <f>SUM(J45:J46)</f>
        <v>206.80858288054014</v>
      </c>
      <c r="L47" s="90" t="s">
        <v>112</v>
      </c>
      <c r="M47" s="90"/>
      <c r="N47" s="5">
        <f>SUM(N45:N46)</f>
        <v>317.1400404625</v>
      </c>
      <c r="O47" s="5">
        <f>SUM(O45:O46)</f>
        <v>201.641531125</v>
      </c>
    </row>
  </sheetData>
  <mergeCells count="98">
    <mergeCell ref="B9:C9"/>
    <mergeCell ref="G9:H9"/>
    <mergeCell ref="L9:M9"/>
    <mergeCell ref="Q9:R9"/>
    <mergeCell ref="V9:W9"/>
    <mergeCell ref="B2:E2"/>
    <mergeCell ref="G2:J2"/>
    <mergeCell ref="L2:O2"/>
    <mergeCell ref="Q2:T2"/>
    <mergeCell ref="V2:Y2"/>
    <mergeCell ref="B11:C11"/>
    <mergeCell ref="G11:H11"/>
    <mergeCell ref="L11:M11"/>
    <mergeCell ref="Q11:R11"/>
    <mergeCell ref="V11:W11"/>
    <mergeCell ref="B10:C10"/>
    <mergeCell ref="G10:H10"/>
    <mergeCell ref="L10:M10"/>
    <mergeCell ref="Q10:R10"/>
    <mergeCell ref="V10:W10"/>
    <mergeCell ref="B21:C21"/>
    <mergeCell ref="G21:H21"/>
    <mergeCell ref="L21:M21"/>
    <mergeCell ref="Q21:R21"/>
    <mergeCell ref="V21:W21"/>
    <mergeCell ref="B14:E14"/>
    <mergeCell ref="G14:J14"/>
    <mergeCell ref="L14:O14"/>
    <mergeCell ref="Q14:T14"/>
    <mergeCell ref="V14:Y14"/>
    <mergeCell ref="B23:C23"/>
    <mergeCell ref="G23:H23"/>
    <mergeCell ref="L23:M23"/>
    <mergeCell ref="Q23:R23"/>
    <mergeCell ref="V23:W23"/>
    <mergeCell ref="B22:C22"/>
    <mergeCell ref="G22:H22"/>
    <mergeCell ref="L22:M22"/>
    <mergeCell ref="Q22:R22"/>
    <mergeCell ref="V22:W22"/>
    <mergeCell ref="V35:W35"/>
    <mergeCell ref="B26:E26"/>
    <mergeCell ref="G26:J26"/>
    <mergeCell ref="L26:O26"/>
    <mergeCell ref="Q26:T26"/>
    <mergeCell ref="V26:Y26"/>
    <mergeCell ref="B33:C33"/>
    <mergeCell ref="G33:H33"/>
    <mergeCell ref="L33:M33"/>
    <mergeCell ref="Q33:R33"/>
    <mergeCell ref="V33:W33"/>
    <mergeCell ref="B47:C47"/>
    <mergeCell ref="G47:H47"/>
    <mergeCell ref="L47:M47"/>
    <mergeCell ref="B38:E38"/>
    <mergeCell ref="G38:J38"/>
    <mergeCell ref="L38:O38"/>
    <mergeCell ref="B45:C45"/>
    <mergeCell ref="G45:H45"/>
    <mergeCell ref="L45:M45"/>
    <mergeCell ref="AG12:AI12"/>
    <mergeCell ref="AA8:AB8"/>
    <mergeCell ref="AA9:AB9"/>
    <mergeCell ref="AA10:AB10"/>
    <mergeCell ref="B46:C46"/>
    <mergeCell ref="G46:H46"/>
    <mergeCell ref="L46:M46"/>
    <mergeCell ref="B34:C34"/>
    <mergeCell ref="G34:H34"/>
    <mergeCell ref="L34:M34"/>
    <mergeCell ref="Q34:R34"/>
    <mergeCell ref="V34:W34"/>
    <mergeCell ref="B35:C35"/>
    <mergeCell ref="G35:H35"/>
    <mergeCell ref="L35:M35"/>
    <mergeCell ref="Q35:R35"/>
    <mergeCell ref="AA7:AB7"/>
    <mergeCell ref="AA24:AB24"/>
    <mergeCell ref="AA25:AB25"/>
    <mergeCell ref="AA14:AE14"/>
    <mergeCell ref="AA16:AB16"/>
    <mergeCell ref="AA17:AB17"/>
    <mergeCell ref="AA2:AB2"/>
    <mergeCell ref="AA3:AB3"/>
    <mergeCell ref="AA4:AB4"/>
    <mergeCell ref="AA5:AB5"/>
    <mergeCell ref="AA6:AB6"/>
    <mergeCell ref="AA26:AB26"/>
    <mergeCell ref="AA27:AB27"/>
    <mergeCell ref="AG13:AI13"/>
    <mergeCell ref="AG14:AI14"/>
    <mergeCell ref="AG15:AI15"/>
    <mergeCell ref="AA18:AB18"/>
    <mergeCell ref="AA19:AB19"/>
    <mergeCell ref="AA20:AB20"/>
    <mergeCell ref="AA21:AB21"/>
    <mergeCell ref="AA22:AB22"/>
    <mergeCell ref="AA23:AB2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AP120"/>
  <sheetViews>
    <sheetView tabSelected="1" topLeftCell="G16" zoomScaleNormal="100" workbookViewId="0">
      <selection activeCell="W36" sqref="W35:W36"/>
    </sheetView>
  </sheetViews>
  <sheetFormatPr defaultRowHeight="15" x14ac:dyDescent="0.25"/>
  <cols>
    <col min="3" max="3" width="9.7109375" customWidth="1"/>
    <col min="4" max="4" width="9.85546875" customWidth="1"/>
    <col min="5" max="5" width="10.140625" customWidth="1"/>
    <col min="7" max="7" width="9.85546875" customWidth="1"/>
    <col min="8" max="8" width="10" customWidth="1"/>
    <col min="10" max="10" width="11.140625" customWidth="1"/>
    <col min="11" max="11" width="9.28515625" customWidth="1"/>
    <col min="15" max="16" width="9.85546875" customWidth="1"/>
    <col min="17" max="17" width="9.5703125" customWidth="1"/>
    <col min="19" max="19" width="10.42578125" customWidth="1"/>
    <col min="20" max="20" width="10.28515625" customWidth="1"/>
    <col min="21" max="21" width="10.7109375" customWidth="1"/>
    <col min="22" max="22" width="10.28515625" customWidth="1"/>
    <col min="23" max="23" width="14.28515625" customWidth="1"/>
    <col min="24" max="24" width="10.28515625" customWidth="1"/>
    <col min="25" max="25" width="9.42578125" customWidth="1"/>
    <col min="26" max="26" width="9.7109375" customWidth="1"/>
    <col min="27" max="27" width="9.140625" customWidth="1"/>
    <col min="28" max="28" width="11.140625" customWidth="1"/>
    <col min="29" max="29" width="10.5703125" customWidth="1"/>
    <col min="30" max="30" width="11.42578125" customWidth="1"/>
    <col min="31" max="31" width="11.140625" customWidth="1"/>
    <col min="33" max="34" width="9.140625" customWidth="1"/>
  </cols>
  <sheetData>
    <row r="3" spans="2:42" ht="15" customHeight="1" x14ac:dyDescent="0.25">
      <c r="K3" s="163" t="s">
        <v>203</v>
      </c>
      <c r="L3" s="164"/>
      <c r="M3" s="164"/>
      <c r="N3" s="164"/>
      <c r="O3" s="164"/>
      <c r="P3" s="164"/>
      <c r="Q3" s="165"/>
    </row>
    <row r="4" spans="2:42" x14ac:dyDescent="0.25">
      <c r="K4" s="166"/>
      <c r="L4" s="167"/>
      <c r="M4" s="167"/>
      <c r="N4" s="167"/>
      <c r="O4" s="167"/>
      <c r="P4" s="167"/>
      <c r="Q4" s="168"/>
    </row>
    <row r="5" spans="2:42" x14ac:dyDescent="0.25">
      <c r="B5" s="41" t="s">
        <v>58</v>
      </c>
      <c r="C5" s="41" t="s">
        <v>178</v>
      </c>
      <c r="D5" s="41" t="s">
        <v>179</v>
      </c>
      <c r="E5" s="41" t="s">
        <v>202</v>
      </c>
      <c r="F5" s="41" t="s">
        <v>180</v>
      </c>
      <c r="G5" s="41" t="s">
        <v>181</v>
      </c>
      <c r="H5" s="41" t="s">
        <v>182</v>
      </c>
      <c r="I5" s="41" t="s">
        <v>193</v>
      </c>
      <c r="K5" s="41" t="str">
        <f t="shared" ref="K5:Q11" si="0">B5</f>
        <v>Piano</v>
      </c>
      <c r="L5" s="41" t="str">
        <f t="shared" si="0"/>
        <v>Fi</v>
      </c>
      <c r="M5" s="41" t="str">
        <f t="shared" si="0"/>
        <v>Vi</v>
      </c>
      <c r="N5" s="41" t="str">
        <f t="shared" si="0"/>
        <v xml:space="preserve">Vpil </v>
      </c>
      <c r="O5" s="41" t="str">
        <f t="shared" si="0"/>
        <v>Mpil</v>
      </c>
      <c r="P5" s="41" t="str">
        <f t="shared" si="0"/>
        <v>Mtra</v>
      </c>
      <c r="Q5" s="41" t="str">
        <f t="shared" si="0"/>
        <v>Vtra</v>
      </c>
      <c r="S5" s="50" t="s">
        <v>58</v>
      </c>
      <c r="T5" s="50" t="s">
        <v>180</v>
      </c>
      <c r="U5" s="50" t="s">
        <v>183</v>
      </c>
      <c r="V5" s="50" t="s">
        <v>181</v>
      </c>
      <c r="W5" s="50" t="s">
        <v>233</v>
      </c>
      <c r="X5" s="50" t="s">
        <v>234</v>
      </c>
      <c r="Y5" s="50" t="str">
        <f t="shared" ref="Y5:Y11" si="1">I5</f>
        <v>ΔNpil</v>
      </c>
      <c r="Z5" s="50" t="s">
        <v>237</v>
      </c>
      <c r="AA5" s="50" t="s">
        <v>235</v>
      </c>
      <c r="AB5" s="50" t="s">
        <v>236</v>
      </c>
    </row>
    <row r="6" spans="2:42" x14ac:dyDescent="0.25">
      <c r="B6" s="41">
        <v>6</v>
      </c>
      <c r="C6" s="3">
        <f>'Forze Orizzontali CD"A"'!U4</f>
        <v>394.91856575105641</v>
      </c>
      <c r="D6" s="3">
        <f>C6</f>
        <v>394.91856575105641</v>
      </c>
      <c r="E6" s="3">
        <f t="shared" ref="E6:E11" si="2">D6/L$19</f>
        <v>49.364820718882051</v>
      </c>
      <c r="F6" s="3">
        <f>0.5*L$16*E6</f>
        <v>78.983713150211287</v>
      </c>
      <c r="G6" s="3">
        <f>F6/2</f>
        <v>39.491856575105643</v>
      </c>
      <c r="H6" s="3">
        <f t="shared" ref="H6:H11" si="3">2*G6/4</f>
        <v>19.745928287552822</v>
      </c>
      <c r="I6" s="3">
        <f>H6</f>
        <v>19.745928287552822</v>
      </c>
      <c r="K6" s="41">
        <f t="shared" si="0"/>
        <v>6</v>
      </c>
      <c r="L6" s="3">
        <f t="shared" si="0"/>
        <v>394.91856575105641</v>
      </c>
      <c r="M6" s="3">
        <f t="shared" si="0"/>
        <v>394.91856575105641</v>
      </c>
      <c r="N6" s="3">
        <f>E6*1.2</f>
        <v>59.237784862658458</v>
      </c>
      <c r="O6" s="3">
        <f>F6*1.2</f>
        <v>94.780455780253547</v>
      </c>
      <c r="P6" s="3">
        <f>G6*1.2</f>
        <v>47.390227890126774</v>
      </c>
      <c r="Q6" s="3">
        <f>H6*1.2</f>
        <v>23.695113945063387</v>
      </c>
      <c r="S6" s="50">
        <v>6</v>
      </c>
      <c r="T6" s="3">
        <f t="shared" ref="T6:V11" si="4">F15</f>
        <v>94.780455780253547</v>
      </c>
      <c r="U6" s="3">
        <f t="shared" si="4"/>
        <v>142.17068367038033</v>
      </c>
      <c r="V6" s="3">
        <f t="shared" si="4"/>
        <v>47.390227890126774</v>
      </c>
      <c r="W6" s="3">
        <v>200</v>
      </c>
      <c r="X6" s="3">
        <v>100</v>
      </c>
      <c r="Y6" s="3">
        <f t="shared" si="1"/>
        <v>19.745928287552822</v>
      </c>
      <c r="Z6" s="3">
        <f t="shared" ref="Z6:Z11" si="5">1.5*Y6</f>
        <v>29.618892431329233</v>
      </c>
      <c r="AA6" s="3">
        <f t="shared" ref="AA6:AA11" si="6">W6+Z6</f>
        <v>229.61889243132924</v>
      </c>
      <c r="AB6" s="3">
        <f t="shared" ref="AB6:AB11" si="7">X6-Z6</f>
        <v>70.381107568670771</v>
      </c>
    </row>
    <row r="7" spans="2:42" x14ac:dyDescent="0.25">
      <c r="B7" s="41">
        <v>5</v>
      </c>
      <c r="C7" s="3">
        <f>'Forze Orizzontali CD"A"'!U5</f>
        <v>313.71435566549644</v>
      </c>
      <c r="D7" s="3">
        <f>D6+C7</f>
        <v>708.63292141655279</v>
      </c>
      <c r="E7" s="3">
        <f t="shared" si="2"/>
        <v>88.579115177069099</v>
      </c>
      <c r="F7" s="3">
        <f>0.5*L$16*E7</f>
        <v>141.72658428331056</v>
      </c>
      <c r="G7" s="3">
        <f>(F7+F6)/2</f>
        <v>110.35514871676092</v>
      </c>
      <c r="H7" s="3">
        <f t="shared" si="3"/>
        <v>55.177574358380461</v>
      </c>
      <c r="I7" s="3">
        <f>H6+H7</f>
        <v>74.923502645933283</v>
      </c>
      <c r="K7" s="41">
        <f t="shared" si="0"/>
        <v>5</v>
      </c>
      <c r="L7" s="3">
        <f t="shared" si="0"/>
        <v>313.71435566549644</v>
      </c>
      <c r="M7" s="3">
        <f t="shared" si="0"/>
        <v>708.63292141655279</v>
      </c>
      <c r="N7" s="3">
        <f t="shared" ref="N7:N11" si="8">E7*1.2</f>
        <v>106.29493821248292</v>
      </c>
      <c r="O7" s="3">
        <f t="shared" ref="O7:O12" si="9">F7*1.2</f>
        <v>170.07190113997265</v>
      </c>
      <c r="P7" s="3">
        <f t="shared" ref="P7:P11" si="10">G7*1.2</f>
        <v>132.42617846011311</v>
      </c>
      <c r="Q7" s="3">
        <f t="shared" ref="Q7:Q11" si="11">H7*1.2</f>
        <v>66.213089230056553</v>
      </c>
      <c r="S7" s="50">
        <v>5</v>
      </c>
      <c r="T7" s="3">
        <f t="shared" si="4"/>
        <v>170.07190113997265</v>
      </c>
      <c r="U7" s="3">
        <f t="shared" si="4"/>
        <v>255.10785170995899</v>
      </c>
      <c r="V7" s="3">
        <f t="shared" si="4"/>
        <v>132.42617846011311</v>
      </c>
      <c r="W7" s="3">
        <f>200+W6</f>
        <v>400</v>
      </c>
      <c r="X7" s="3">
        <f>X6+100</f>
        <v>200</v>
      </c>
      <c r="Y7" s="3">
        <f t="shared" si="1"/>
        <v>74.923502645933283</v>
      </c>
      <c r="Z7" s="3">
        <f t="shared" si="5"/>
        <v>112.38525396889992</v>
      </c>
      <c r="AA7" s="3">
        <f t="shared" si="6"/>
        <v>512.38525396889986</v>
      </c>
      <c r="AB7" s="3">
        <f t="shared" si="7"/>
        <v>87.614746031100083</v>
      </c>
    </row>
    <row r="8" spans="2:42" x14ac:dyDescent="0.25">
      <c r="B8" s="41">
        <v>4</v>
      </c>
      <c r="C8" s="3">
        <f>'Forze Orizzontali CD"A"'!U6</f>
        <v>252.8727836576426</v>
      </c>
      <c r="D8" s="3">
        <f>D7+C8</f>
        <v>961.50570507419536</v>
      </c>
      <c r="E8" s="3">
        <f t="shared" si="2"/>
        <v>120.18821313427442</v>
      </c>
      <c r="F8" s="3">
        <f>0.5*L$16*E8</f>
        <v>192.30114101483909</v>
      </c>
      <c r="G8" s="3">
        <f>(F8+F7)/2</f>
        <v>167.01386264907484</v>
      </c>
      <c r="H8" s="3">
        <f t="shared" si="3"/>
        <v>83.506931324537419</v>
      </c>
      <c r="I8" s="3">
        <f>H7+H8</f>
        <v>138.68450568291789</v>
      </c>
      <c r="K8" s="41">
        <f t="shared" si="0"/>
        <v>4</v>
      </c>
      <c r="L8" s="3">
        <f t="shared" si="0"/>
        <v>252.8727836576426</v>
      </c>
      <c r="M8" s="3">
        <f t="shared" si="0"/>
        <v>961.50570507419536</v>
      </c>
      <c r="N8" s="3">
        <f t="shared" si="8"/>
        <v>144.22585576112931</v>
      </c>
      <c r="O8" s="3">
        <f t="shared" si="9"/>
        <v>230.7613692178069</v>
      </c>
      <c r="P8" s="3">
        <f t="shared" si="10"/>
        <v>200.41663517888981</v>
      </c>
      <c r="Q8" s="3">
        <f t="shared" si="11"/>
        <v>100.2083175894449</v>
      </c>
      <c r="S8" s="50">
        <v>4</v>
      </c>
      <c r="T8" s="3">
        <f t="shared" si="4"/>
        <v>230.7613692178069</v>
      </c>
      <c r="U8" s="3">
        <f t="shared" si="4"/>
        <v>346.14205382671037</v>
      </c>
      <c r="V8" s="3">
        <f t="shared" si="4"/>
        <v>200.41663517888981</v>
      </c>
      <c r="W8" s="3">
        <f>200+W7</f>
        <v>600</v>
      </c>
      <c r="X8" s="3">
        <f>X7+100</f>
        <v>300</v>
      </c>
      <c r="Y8" s="3">
        <f t="shared" si="1"/>
        <v>138.68450568291789</v>
      </c>
      <c r="Z8" s="3">
        <f t="shared" si="5"/>
        <v>208.02675852437682</v>
      </c>
      <c r="AA8" s="3">
        <f t="shared" si="6"/>
        <v>808.02675852437687</v>
      </c>
      <c r="AB8" s="3">
        <f t="shared" si="7"/>
        <v>91.973241475623183</v>
      </c>
    </row>
    <row r="9" spans="2:42" x14ac:dyDescent="0.25">
      <c r="B9" s="41">
        <v>3</v>
      </c>
      <c r="C9" s="3">
        <f>'Forze Orizzontali CD"A"'!U7</f>
        <v>192.03121164978873</v>
      </c>
      <c r="D9" s="3">
        <f>D8+C9</f>
        <v>1153.5369167239842</v>
      </c>
      <c r="E9" s="3">
        <f t="shared" si="2"/>
        <v>144.19211459049802</v>
      </c>
      <c r="F9" s="3">
        <f>0.5*L$16*E9</f>
        <v>230.70738334479685</v>
      </c>
      <c r="G9" s="3">
        <f>(F9+F8)/2</f>
        <v>211.50426217981797</v>
      </c>
      <c r="H9" s="3">
        <f t="shared" si="3"/>
        <v>105.75213108990899</v>
      </c>
      <c r="I9" s="3">
        <f>H8+H9</f>
        <v>189.25906241444642</v>
      </c>
      <c r="K9" s="41">
        <f t="shared" si="0"/>
        <v>3</v>
      </c>
      <c r="L9" s="3">
        <f t="shared" si="0"/>
        <v>192.03121164978873</v>
      </c>
      <c r="M9" s="3">
        <f t="shared" si="0"/>
        <v>1153.5369167239842</v>
      </c>
      <c r="N9" s="3">
        <f t="shared" si="8"/>
        <v>173.03053750859763</v>
      </c>
      <c r="O9" s="3">
        <f t="shared" si="9"/>
        <v>276.84886001375622</v>
      </c>
      <c r="P9" s="3">
        <f t="shared" si="10"/>
        <v>253.80511461578155</v>
      </c>
      <c r="Q9" s="3">
        <f t="shared" si="11"/>
        <v>126.90255730789077</v>
      </c>
      <c r="S9" s="50">
        <v>3</v>
      </c>
      <c r="T9" s="3">
        <f t="shared" si="4"/>
        <v>276.84886001375622</v>
      </c>
      <c r="U9" s="3">
        <f t="shared" si="4"/>
        <v>415.27329002063436</v>
      </c>
      <c r="V9" s="3">
        <f t="shared" si="4"/>
        <v>253.80511461578155</v>
      </c>
      <c r="W9" s="3">
        <f>200+W8</f>
        <v>800</v>
      </c>
      <c r="X9" s="3">
        <f>X8+100</f>
        <v>400</v>
      </c>
      <c r="Y9" s="3">
        <f t="shared" si="1"/>
        <v>189.25906241444642</v>
      </c>
      <c r="Z9" s="3">
        <f t="shared" si="5"/>
        <v>283.88859362166966</v>
      </c>
      <c r="AA9" s="3">
        <f t="shared" si="6"/>
        <v>1083.8885936216698</v>
      </c>
      <c r="AB9" s="3">
        <f t="shared" si="7"/>
        <v>116.11140637833034</v>
      </c>
    </row>
    <row r="10" spans="2:42" x14ac:dyDescent="0.25">
      <c r="B10" s="41">
        <v>2</v>
      </c>
      <c r="C10" s="3">
        <f>'Forze Orizzontali CD"A"'!U8</f>
        <v>131.18963964193486</v>
      </c>
      <c r="D10" s="3">
        <f>D9+C10</f>
        <v>1284.7265563659191</v>
      </c>
      <c r="E10" s="3">
        <f t="shared" si="2"/>
        <v>160.59081954573989</v>
      </c>
      <c r="F10" s="3">
        <f>0.5*L$16*E10</f>
        <v>256.94531127318385</v>
      </c>
      <c r="G10" s="3">
        <f>(F10+F9)/2</f>
        <v>243.82634730899036</v>
      </c>
      <c r="H10" s="3">
        <f t="shared" si="3"/>
        <v>121.91317365449518</v>
      </c>
      <c r="I10" s="3">
        <f>H9+H10</f>
        <v>227.66530474440418</v>
      </c>
      <c r="K10" s="41">
        <f t="shared" si="0"/>
        <v>2</v>
      </c>
      <c r="L10" s="3">
        <f t="shared" si="0"/>
        <v>131.18963964193486</v>
      </c>
      <c r="M10" s="3">
        <f t="shared" si="0"/>
        <v>1284.7265563659191</v>
      </c>
      <c r="N10" s="3">
        <f t="shared" si="8"/>
        <v>192.70898345488786</v>
      </c>
      <c r="O10" s="3">
        <f t="shared" si="9"/>
        <v>308.33437352782062</v>
      </c>
      <c r="P10" s="3">
        <f t="shared" si="10"/>
        <v>292.59161677078845</v>
      </c>
      <c r="Q10" s="3">
        <f t="shared" si="11"/>
        <v>146.29580838539422</v>
      </c>
      <c r="S10" s="50">
        <v>2</v>
      </c>
      <c r="T10" s="3">
        <f t="shared" si="4"/>
        <v>308.33437352782062</v>
      </c>
      <c r="U10" s="3">
        <f t="shared" si="4"/>
        <v>462.50156029173093</v>
      </c>
      <c r="V10" s="3">
        <f t="shared" si="4"/>
        <v>292.59161677078845</v>
      </c>
      <c r="W10" s="3">
        <f>200+W9</f>
        <v>1000</v>
      </c>
      <c r="X10" s="3">
        <f>X9+100</f>
        <v>500</v>
      </c>
      <c r="Y10" s="3">
        <f t="shared" si="1"/>
        <v>227.66530474440418</v>
      </c>
      <c r="Z10" s="3">
        <f t="shared" si="5"/>
        <v>341.49795711660624</v>
      </c>
      <c r="AA10" s="3">
        <f t="shared" si="6"/>
        <v>1341.4979571166064</v>
      </c>
      <c r="AB10" s="3">
        <f t="shared" si="7"/>
        <v>158.50204288339376</v>
      </c>
    </row>
    <row r="11" spans="2:42" x14ac:dyDescent="0.25">
      <c r="B11" s="41" t="s">
        <v>191</v>
      </c>
      <c r="C11" s="3">
        <f>'Forze Orizzontali CD"A"'!U9</f>
        <v>70.348067634081019</v>
      </c>
      <c r="D11" s="3">
        <f>D10+C11</f>
        <v>1355.0746240000001</v>
      </c>
      <c r="E11" s="3">
        <f t="shared" si="2"/>
        <v>169.38432800000001</v>
      </c>
      <c r="F11" s="3">
        <f>0.4*L17*E11</f>
        <v>250.68880544000004</v>
      </c>
      <c r="G11" s="3">
        <f>(F11+F10)/2</f>
        <v>253.81705835659193</v>
      </c>
      <c r="H11" s="3">
        <f t="shared" si="3"/>
        <v>126.90852917829596</v>
      </c>
      <c r="I11" s="3">
        <f>H10+H11</f>
        <v>248.82170283279115</v>
      </c>
      <c r="K11" s="41" t="str">
        <f t="shared" si="0"/>
        <v>1 testa</v>
      </c>
      <c r="L11" s="3">
        <f t="shared" si="0"/>
        <v>70.348067634081019</v>
      </c>
      <c r="M11" s="3">
        <f t="shared" si="0"/>
        <v>1355.0746240000001</v>
      </c>
      <c r="N11" s="3">
        <f t="shared" si="8"/>
        <v>203.26119360000001</v>
      </c>
      <c r="O11" s="3">
        <f t="shared" si="9"/>
        <v>300.82656652800006</v>
      </c>
      <c r="P11" s="3">
        <f t="shared" si="10"/>
        <v>304.58047002791028</v>
      </c>
      <c r="Q11" s="3">
        <f t="shared" si="11"/>
        <v>152.29023501395514</v>
      </c>
      <c r="S11" s="50" t="s">
        <v>191</v>
      </c>
      <c r="T11" s="3">
        <f t="shared" si="4"/>
        <v>300.82656652800006</v>
      </c>
      <c r="U11" s="3">
        <f t="shared" si="4"/>
        <v>451.23984979200009</v>
      </c>
      <c r="V11" s="3">
        <f t="shared" si="4"/>
        <v>304.58047002791028</v>
      </c>
      <c r="W11" s="3">
        <f>200+W10</f>
        <v>1200</v>
      </c>
      <c r="X11" s="3">
        <f>X10+100</f>
        <v>600</v>
      </c>
      <c r="Y11" s="3">
        <f t="shared" si="1"/>
        <v>248.82170283279115</v>
      </c>
      <c r="Z11" s="3">
        <f t="shared" si="5"/>
        <v>373.23255424918671</v>
      </c>
      <c r="AA11" s="3">
        <f t="shared" si="6"/>
        <v>1573.2325542491867</v>
      </c>
      <c r="AB11" s="3">
        <f t="shared" si="7"/>
        <v>226.76744575081329</v>
      </c>
    </row>
    <row r="12" spans="2:42" x14ac:dyDescent="0.25">
      <c r="B12" s="41" t="s">
        <v>192</v>
      </c>
      <c r="C12" s="3"/>
      <c r="D12" s="3"/>
      <c r="E12" s="3"/>
      <c r="F12" s="3">
        <f>0.6*L$17*E11</f>
        <v>376.03320816000007</v>
      </c>
      <c r="G12" s="3"/>
      <c r="H12" s="3"/>
      <c r="I12" s="3"/>
      <c r="K12" s="41" t="str">
        <f>B12</f>
        <v>piede</v>
      </c>
      <c r="L12" s="3"/>
      <c r="M12" s="3"/>
      <c r="N12" s="3"/>
      <c r="O12" s="3">
        <f t="shared" si="9"/>
        <v>451.23984979200009</v>
      </c>
      <c r="P12" s="3"/>
      <c r="Q12" s="3"/>
      <c r="S12" s="50" t="s">
        <v>192</v>
      </c>
      <c r="T12" s="3">
        <f>F21</f>
        <v>451.23984979200009</v>
      </c>
      <c r="U12" s="3">
        <f>G21</f>
        <v>451.23984979200009</v>
      </c>
      <c r="V12" s="3"/>
      <c r="W12" s="29"/>
      <c r="X12" s="29"/>
      <c r="Y12" s="3"/>
      <c r="Z12" s="3"/>
      <c r="AA12" s="29"/>
      <c r="AB12" s="29"/>
    </row>
    <row r="14" spans="2:42" x14ac:dyDescent="0.25">
      <c r="B14" s="41" t="s">
        <v>58</v>
      </c>
      <c r="C14" s="41" t="str">
        <f t="shared" ref="C14:E20" si="12">L5</f>
        <v>Fi</v>
      </c>
      <c r="D14" s="41" t="str">
        <f t="shared" si="12"/>
        <v>Vi</v>
      </c>
      <c r="E14" s="41" t="str">
        <f t="shared" si="12"/>
        <v xml:space="preserve">Vpil </v>
      </c>
      <c r="F14" s="41" t="s">
        <v>180</v>
      </c>
      <c r="G14" s="41" t="s">
        <v>183</v>
      </c>
      <c r="H14" s="41" t="str">
        <f t="shared" ref="H14" si="13">P5</f>
        <v>Mtra</v>
      </c>
      <c r="N14" s="90" t="s">
        <v>26</v>
      </c>
      <c r="O14" s="90"/>
      <c r="P14" s="90"/>
      <c r="Q14" s="90"/>
      <c r="S14" s="110" t="s">
        <v>238</v>
      </c>
      <c r="T14" s="111"/>
      <c r="U14" s="160"/>
      <c r="V14" s="8">
        <f>MAX(U10:U12)</f>
        <v>462.50156029173093</v>
      </c>
      <c r="X14" s="112" t="s">
        <v>242</v>
      </c>
      <c r="Y14" s="114"/>
      <c r="AA14" s="170" t="s">
        <v>273</v>
      </c>
      <c r="AB14" s="170"/>
      <c r="AC14" s="170"/>
      <c r="AD14" s="170"/>
      <c r="AE14" s="170"/>
      <c r="AF14" s="170"/>
      <c r="AG14" s="170"/>
      <c r="AI14" s="170" t="s">
        <v>247</v>
      </c>
      <c r="AJ14" s="170"/>
      <c r="AK14" s="170"/>
      <c r="AL14" s="170"/>
      <c r="AM14" s="170"/>
      <c r="AN14" s="170"/>
      <c r="AO14" s="170"/>
      <c r="AP14" s="170"/>
    </row>
    <row r="15" spans="2:42" ht="15.75" customHeight="1" x14ac:dyDescent="0.25">
      <c r="B15" s="41">
        <v>6</v>
      </c>
      <c r="C15" s="3">
        <f t="shared" si="12"/>
        <v>394.91856575105641</v>
      </c>
      <c r="D15" s="3">
        <f t="shared" si="12"/>
        <v>394.91856575105641</v>
      </c>
      <c r="E15" s="3">
        <f>N6</f>
        <v>59.237784862658458</v>
      </c>
      <c r="F15" s="3">
        <f>O6</f>
        <v>94.780455780253547</v>
      </c>
      <c r="G15" s="3">
        <f>1.5*F15</f>
        <v>142.17068367038033</v>
      </c>
      <c r="H15" s="3">
        <f>P6</f>
        <v>47.390227890126774</v>
      </c>
      <c r="N15" s="87" t="s">
        <v>27</v>
      </c>
      <c r="O15" s="87"/>
      <c r="P15" s="87"/>
      <c r="Q15" s="24">
        <v>1.3</v>
      </c>
      <c r="S15" s="110" t="s">
        <v>239</v>
      </c>
      <c r="T15" s="111"/>
      <c r="U15" s="160"/>
      <c r="V15" s="8">
        <f>MIN(U10:U12)</f>
        <v>451.23984979200009</v>
      </c>
      <c r="X15" s="51" t="s">
        <v>244</v>
      </c>
      <c r="Y15" s="8">
        <f>V14</f>
        <v>462.50156029173093</v>
      </c>
      <c r="AA15" s="170"/>
      <c r="AB15" s="170"/>
      <c r="AC15" s="170"/>
      <c r="AD15" s="170"/>
      <c r="AE15" s="170"/>
      <c r="AF15" s="170"/>
      <c r="AG15" s="170"/>
      <c r="AI15" s="170"/>
      <c r="AJ15" s="170"/>
      <c r="AK15" s="170"/>
      <c r="AL15" s="170"/>
      <c r="AM15" s="170"/>
      <c r="AN15" s="170"/>
      <c r="AO15" s="170"/>
      <c r="AP15" s="170"/>
    </row>
    <row r="16" spans="2:42" ht="15" customHeight="1" x14ac:dyDescent="0.25">
      <c r="B16" s="41">
        <v>5</v>
      </c>
      <c r="C16" s="3">
        <f t="shared" si="12"/>
        <v>313.71435566549644</v>
      </c>
      <c r="D16" s="3">
        <f t="shared" si="12"/>
        <v>708.63292141655279</v>
      </c>
      <c r="E16" s="3">
        <f t="shared" ref="E16:E20" si="14">N7</f>
        <v>106.29493821248292</v>
      </c>
      <c r="F16" s="3">
        <f t="shared" ref="F16:F21" si="15">O7</f>
        <v>170.07190113997265</v>
      </c>
      <c r="G16" s="3">
        <f t="shared" ref="G16:G20" si="16">1.5*F16</f>
        <v>255.10785170995899</v>
      </c>
      <c r="H16" s="3">
        <f t="shared" ref="H16:H20" si="17">P7</f>
        <v>132.42617846011311</v>
      </c>
      <c r="J16" s="88" t="s">
        <v>186</v>
      </c>
      <c r="K16" s="89"/>
      <c r="L16" s="43">
        <v>3.2</v>
      </c>
      <c r="N16" s="87" t="s">
        <v>28</v>
      </c>
      <c r="O16" s="87"/>
      <c r="P16" s="87"/>
      <c r="Q16" s="24">
        <v>1.5</v>
      </c>
      <c r="X16" s="51" t="s">
        <v>245</v>
      </c>
      <c r="Y16" s="8">
        <f>V18</f>
        <v>70.381107568670771</v>
      </c>
    </row>
    <row r="17" spans="2:25" ht="18" x14ac:dyDescent="0.25">
      <c r="B17" s="41">
        <v>4</v>
      </c>
      <c r="C17" s="3">
        <f t="shared" si="12"/>
        <v>252.8727836576426</v>
      </c>
      <c r="D17" s="3">
        <f t="shared" si="12"/>
        <v>961.50570507419536</v>
      </c>
      <c r="E17" s="3">
        <f t="shared" si="14"/>
        <v>144.22585576112931</v>
      </c>
      <c r="F17" s="3">
        <f t="shared" si="15"/>
        <v>230.7613692178069</v>
      </c>
      <c r="G17" s="3">
        <f t="shared" si="16"/>
        <v>346.14205382671037</v>
      </c>
      <c r="H17" s="3">
        <f t="shared" si="17"/>
        <v>200.41663517888981</v>
      </c>
      <c r="J17" s="88" t="s">
        <v>187</v>
      </c>
      <c r="K17" s="89"/>
      <c r="L17" s="43">
        <v>3.7</v>
      </c>
      <c r="N17" s="87" t="s">
        <v>29</v>
      </c>
      <c r="O17" s="87"/>
      <c r="P17" s="87"/>
      <c r="Q17" s="24">
        <v>1</v>
      </c>
      <c r="S17" s="62" t="s">
        <v>240</v>
      </c>
      <c r="T17" s="63"/>
      <c r="U17" s="66"/>
      <c r="V17" s="8">
        <f>MAX(AA6:AA11)</f>
        <v>1573.2325542491867</v>
      </c>
      <c r="X17" s="51" t="s">
        <v>246</v>
      </c>
      <c r="Y17" s="8">
        <f>V15</f>
        <v>451.23984979200009</v>
      </c>
    </row>
    <row r="18" spans="2:25" ht="18" x14ac:dyDescent="0.25">
      <c r="B18" s="41">
        <v>3</v>
      </c>
      <c r="C18" s="3">
        <f t="shared" si="12"/>
        <v>192.03121164978873</v>
      </c>
      <c r="D18" s="3">
        <f t="shared" si="12"/>
        <v>1153.5369167239842</v>
      </c>
      <c r="E18" s="3">
        <f t="shared" si="14"/>
        <v>173.03053750859763</v>
      </c>
      <c r="F18" s="3">
        <f t="shared" si="15"/>
        <v>276.84886001375622</v>
      </c>
      <c r="G18" s="3">
        <f t="shared" si="16"/>
        <v>415.27329002063436</v>
      </c>
      <c r="H18" s="3">
        <f t="shared" si="17"/>
        <v>253.80511461578155</v>
      </c>
      <c r="S18" s="110" t="s">
        <v>241</v>
      </c>
      <c r="T18" s="111"/>
      <c r="U18" s="160"/>
      <c r="V18" s="8">
        <f>MIN(AB6:AB11)</f>
        <v>70.381107568670771</v>
      </c>
      <c r="X18" s="22" t="s">
        <v>243</v>
      </c>
      <c r="Y18" s="8">
        <f>V17</f>
        <v>1573.2325542491867</v>
      </c>
    </row>
    <row r="19" spans="2:25" x14ac:dyDescent="0.25">
      <c r="B19" s="41">
        <v>2</v>
      </c>
      <c r="C19" s="3">
        <f t="shared" si="12"/>
        <v>131.18963964193486</v>
      </c>
      <c r="D19" s="3">
        <f t="shared" si="12"/>
        <v>1284.7265563659191</v>
      </c>
      <c r="E19" s="3">
        <f t="shared" si="14"/>
        <v>192.70898345488786</v>
      </c>
      <c r="F19" s="3">
        <f t="shared" si="15"/>
        <v>308.33437352782062</v>
      </c>
      <c r="G19" s="3">
        <f t="shared" si="16"/>
        <v>462.50156029173093</v>
      </c>
      <c r="H19" s="3">
        <f t="shared" si="17"/>
        <v>292.59161677078845</v>
      </c>
      <c r="J19" s="88" t="s">
        <v>200</v>
      </c>
      <c r="K19" s="89"/>
      <c r="L19" s="46">
        <v>8</v>
      </c>
      <c r="U19" s="23"/>
      <c r="V19" s="23"/>
      <c r="W19" s="23"/>
    </row>
    <row r="20" spans="2:25" x14ac:dyDescent="0.25">
      <c r="B20" s="41" t="s">
        <v>191</v>
      </c>
      <c r="C20" s="3">
        <f t="shared" si="12"/>
        <v>70.348067634081019</v>
      </c>
      <c r="D20" s="3">
        <f t="shared" si="12"/>
        <v>1355.0746240000001</v>
      </c>
      <c r="E20" s="3">
        <f t="shared" si="14"/>
        <v>203.26119360000001</v>
      </c>
      <c r="F20" s="3">
        <f t="shared" si="15"/>
        <v>300.82656652800006</v>
      </c>
      <c r="G20" s="3">
        <f t="shared" si="16"/>
        <v>451.23984979200009</v>
      </c>
      <c r="H20" s="3">
        <f t="shared" si="17"/>
        <v>304.58047002791028</v>
      </c>
      <c r="J20" s="88" t="s">
        <v>201</v>
      </c>
      <c r="K20" s="89"/>
      <c r="L20" s="43">
        <v>10</v>
      </c>
    </row>
    <row r="21" spans="2:25" ht="15" customHeight="1" x14ac:dyDescent="0.25">
      <c r="B21" s="41" t="s">
        <v>192</v>
      </c>
      <c r="C21" s="3"/>
      <c r="D21" s="3"/>
      <c r="E21" s="3"/>
      <c r="F21" s="3">
        <f t="shared" si="15"/>
        <v>451.23984979200009</v>
      </c>
      <c r="G21" s="3">
        <f>F21</f>
        <v>451.23984979200009</v>
      </c>
      <c r="H21" s="3"/>
      <c r="N21" s="174" t="s">
        <v>222</v>
      </c>
      <c r="O21" s="174"/>
      <c r="P21" s="174"/>
      <c r="Q21" s="174"/>
      <c r="R21" s="174"/>
      <c r="S21" s="60">
        <f>(F32*4.5^2)/10</f>
        <v>69.854384812500001</v>
      </c>
      <c r="U21" s="175" t="s">
        <v>226</v>
      </c>
      <c r="V21" s="176"/>
      <c r="W21" s="176"/>
      <c r="X21" s="177"/>
    </row>
    <row r="22" spans="2:25" ht="15.75" customHeight="1" x14ac:dyDescent="0.25">
      <c r="N22" s="174" t="s">
        <v>223</v>
      </c>
      <c r="O22" s="174"/>
      <c r="P22" s="174"/>
      <c r="Q22" s="174"/>
      <c r="R22" s="174"/>
      <c r="S22" s="3">
        <f>MAX(H18:H20)</f>
        <v>304.58047002791028</v>
      </c>
      <c r="U22" s="161"/>
      <c r="V22" s="162"/>
      <c r="W22" s="44" t="s">
        <v>227</v>
      </c>
      <c r="X22" s="43">
        <v>30</v>
      </c>
    </row>
    <row r="23" spans="2:25" ht="15" customHeight="1" x14ac:dyDescent="0.25">
      <c r="C23" s="178" t="s">
        <v>221</v>
      </c>
      <c r="D23" s="178"/>
      <c r="E23" s="178"/>
      <c r="F23" s="178"/>
      <c r="H23" s="178" t="s">
        <v>220</v>
      </c>
      <c r="I23" s="178"/>
      <c r="J23" s="178"/>
      <c r="K23" s="178"/>
      <c r="N23" s="179" t="s">
        <v>224</v>
      </c>
      <c r="O23" s="179"/>
      <c r="P23" s="179"/>
      <c r="Q23" s="179"/>
      <c r="R23" s="179"/>
      <c r="S23" s="3">
        <f>S21+S22</f>
        <v>374.43485484041025</v>
      </c>
      <c r="U23" s="169" t="s">
        <v>225</v>
      </c>
      <c r="V23" s="169"/>
      <c r="W23" s="44" t="s">
        <v>228</v>
      </c>
      <c r="X23" s="8">
        <f>X25*100+X24</f>
        <v>64.058769287223598</v>
      </c>
    </row>
    <row r="24" spans="2:25" ht="15" customHeight="1" x14ac:dyDescent="0.25">
      <c r="C24" s="135" t="s">
        <v>125</v>
      </c>
      <c r="D24" s="136"/>
      <c r="E24" s="136"/>
      <c r="F24" s="137"/>
      <c r="H24" s="135" t="s">
        <v>211</v>
      </c>
      <c r="I24" s="136"/>
      <c r="J24" s="136"/>
      <c r="K24" s="137"/>
      <c r="U24" s="161"/>
      <c r="V24" s="162"/>
      <c r="W24" s="44" t="s">
        <v>229</v>
      </c>
      <c r="X24" s="43">
        <v>4</v>
      </c>
    </row>
    <row r="25" spans="2:25" ht="15" customHeight="1" x14ac:dyDescent="0.25">
      <c r="C25" s="42"/>
      <c r="D25" s="41" t="s">
        <v>143</v>
      </c>
      <c r="E25" s="41" t="s">
        <v>144</v>
      </c>
      <c r="F25" s="41" t="s">
        <v>205</v>
      </c>
      <c r="H25" s="42"/>
      <c r="I25" s="41" t="s">
        <v>143</v>
      </c>
      <c r="J25" s="41" t="s">
        <v>144</v>
      </c>
      <c r="K25" s="41" t="s">
        <v>205</v>
      </c>
      <c r="N25" s="41"/>
      <c r="O25" s="59"/>
      <c r="Q25" s="105" t="s">
        <v>230</v>
      </c>
      <c r="R25" s="105"/>
      <c r="S25" s="105"/>
      <c r="U25" s="154" t="s">
        <v>231</v>
      </c>
      <c r="V25" s="155"/>
      <c r="W25" s="156"/>
      <c r="X25" s="5">
        <f>O26*(S23/(X22*0.01))^0.5</f>
        <v>0.60058769287223601</v>
      </c>
    </row>
    <row r="26" spans="2:25" x14ac:dyDescent="0.25">
      <c r="C26" s="42" t="s">
        <v>145</v>
      </c>
      <c r="D26" s="5">
        <f>(5.3/2)</f>
        <v>2.65</v>
      </c>
      <c r="E26" s="5">
        <f>'Carichi unitari'!$P$25</f>
        <v>10.056335000000001</v>
      </c>
      <c r="F26" s="5">
        <f>'Carichi unitari'!$M$25</f>
        <v>6.0279500000000006</v>
      </c>
      <c r="H26" s="42" t="s">
        <v>145</v>
      </c>
      <c r="I26" s="5">
        <v>1</v>
      </c>
      <c r="J26" s="5">
        <f>'Carichi unitari'!$P$25</f>
        <v>10.056335000000001</v>
      </c>
      <c r="K26" s="5">
        <f>'Carichi unitari'!$M$25</f>
        <v>6.0279500000000006</v>
      </c>
      <c r="N26" s="41" t="s">
        <v>137</v>
      </c>
      <c r="O26" s="30">
        <v>1.7000000000000001E-2</v>
      </c>
      <c r="Q26" s="31" t="s">
        <v>184</v>
      </c>
      <c r="R26" s="31"/>
      <c r="S26" s="32"/>
    </row>
    <row r="27" spans="2:25" ht="15.75" x14ac:dyDescent="0.25">
      <c r="C27" s="42" t="s">
        <v>146</v>
      </c>
      <c r="D27" s="5">
        <v>1.5</v>
      </c>
      <c r="E27" s="5">
        <f>'Carichi unitari'!$P$27</f>
        <v>10.560335</v>
      </c>
      <c r="F27" s="5">
        <f>'Carichi unitari'!$M$27</f>
        <v>5.9079499999999996</v>
      </c>
      <c r="H27" s="42" t="s">
        <v>146</v>
      </c>
      <c r="I27" s="5">
        <v>0</v>
      </c>
      <c r="J27" s="5">
        <f>'Carichi unitari'!$P$27</f>
        <v>10.560335</v>
      </c>
      <c r="K27" s="5">
        <f>'Carichi unitari'!$M$27</f>
        <v>5.9079499999999996</v>
      </c>
      <c r="Q27" s="157" t="s">
        <v>185</v>
      </c>
      <c r="R27" s="158"/>
      <c r="S27" s="159"/>
      <c r="U27" s="186" t="s">
        <v>232</v>
      </c>
      <c r="V27" s="187"/>
      <c r="W27" s="187"/>
      <c r="X27" s="188"/>
    </row>
    <row r="28" spans="2:25" ht="15" customHeight="1" x14ac:dyDescent="0.25">
      <c r="C28" s="42" t="s">
        <v>148</v>
      </c>
      <c r="D28" s="5">
        <v>0</v>
      </c>
      <c r="E28" s="5">
        <f>'Carichi unitari'!$P$28</f>
        <v>17.240725948587251</v>
      </c>
      <c r="F28" s="5">
        <f>'Carichi unitari'!$M$28</f>
        <v>11.04671226814404</v>
      </c>
      <c r="H28" s="42" t="s">
        <v>148</v>
      </c>
      <c r="I28" s="5">
        <v>0</v>
      </c>
      <c r="J28" s="5">
        <f>'Carichi unitari'!$P$28</f>
        <v>17.240725948587251</v>
      </c>
      <c r="K28" s="5">
        <f>'Carichi unitari'!$M$28</f>
        <v>11.04671226814404</v>
      </c>
      <c r="U28" s="180" t="s">
        <v>227</v>
      </c>
      <c r="V28" s="181"/>
      <c r="W28" s="182"/>
      <c r="X28" s="72">
        <v>30</v>
      </c>
    </row>
    <row r="29" spans="2:25" ht="15" customHeight="1" x14ac:dyDescent="0.25">
      <c r="C29" s="88" t="s">
        <v>149</v>
      </c>
      <c r="D29" s="89"/>
      <c r="E29" s="5">
        <v>7.8</v>
      </c>
      <c r="F29" s="5">
        <v>6</v>
      </c>
      <c r="H29" s="52" t="s">
        <v>149</v>
      </c>
      <c r="I29" s="53"/>
      <c r="J29" s="5">
        <v>0</v>
      </c>
      <c r="K29" s="5">
        <v>0</v>
      </c>
      <c r="U29" s="180" t="s">
        <v>228</v>
      </c>
      <c r="V29" s="181"/>
      <c r="W29" s="182"/>
      <c r="X29" s="51">
        <v>70</v>
      </c>
    </row>
    <row r="30" spans="2:25" ht="18.75" x14ac:dyDescent="0.25">
      <c r="C30" s="133"/>
      <c r="D30" s="134"/>
      <c r="E30" s="5">
        <f>D26*E26+D27*E27+D28*E28+E29</f>
        <v>50.289790249999996</v>
      </c>
      <c r="F30" s="5">
        <f>D26*F26+D27*F27+D28*F28+F29</f>
        <v>30.8359925</v>
      </c>
      <c r="H30" s="54"/>
      <c r="I30" s="55"/>
      <c r="J30" s="5">
        <f>I26*J26+I27*J27+I28*J28+J29</f>
        <v>10.056335000000001</v>
      </c>
      <c r="K30" s="5">
        <f>I26*K26+I27*K27+I28*K28+K29</f>
        <v>6.0279500000000006</v>
      </c>
      <c r="N30" s="151" t="s">
        <v>40</v>
      </c>
      <c r="O30" s="152"/>
      <c r="P30" s="152"/>
      <c r="Q30" s="152"/>
      <c r="R30" s="152"/>
      <c r="S30" s="152"/>
      <c r="T30" s="153"/>
    </row>
    <row r="31" spans="2:25" x14ac:dyDescent="0.25">
      <c r="C31" s="100" t="s">
        <v>204</v>
      </c>
      <c r="D31" s="102"/>
      <c r="E31" s="5">
        <f>(0.3*0.6*1*25)-0.3*2.8</f>
        <v>3.66</v>
      </c>
      <c r="F31" s="5">
        <f>(0.3*0.6*1*25)-0.3*2.8</f>
        <v>3.66</v>
      </c>
      <c r="H31" s="52" t="s">
        <v>204</v>
      </c>
      <c r="I31" s="53"/>
      <c r="J31" s="5">
        <f>(0.3*0.6*1*25)-0.3*2.8</f>
        <v>3.66</v>
      </c>
      <c r="K31" s="5">
        <f>(0.3*0.6*1*25)-0.3*2.8</f>
        <v>3.66</v>
      </c>
      <c r="N31" s="183"/>
      <c r="O31" s="184"/>
      <c r="P31" s="184"/>
      <c r="Q31" s="185"/>
      <c r="R31" s="47" t="s">
        <v>14</v>
      </c>
      <c r="S31" s="47" t="s">
        <v>16</v>
      </c>
      <c r="T31" s="47" t="s">
        <v>15</v>
      </c>
    </row>
    <row r="32" spans="2:25" x14ac:dyDescent="0.25">
      <c r="C32" s="100" t="s">
        <v>112</v>
      </c>
      <c r="D32" s="102"/>
      <c r="E32" s="5">
        <f>SUM(E30:E31)</f>
        <v>53.949790249999992</v>
      </c>
      <c r="F32" s="5">
        <f>SUM(F30:F31)</f>
        <v>34.4959925</v>
      </c>
      <c r="H32" s="52" t="s">
        <v>112</v>
      </c>
      <c r="I32" s="53"/>
      <c r="J32" s="5">
        <f>SUM(J30:J31)</f>
        <v>13.716335000000001</v>
      </c>
      <c r="K32" s="5">
        <f>SUM(K30:K31)</f>
        <v>9.6879500000000007</v>
      </c>
      <c r="N32" s="171" t="s">
        <v>18</v>
      </c>
      <c r="O32" s="172"/>
      <c r="P32" s="172"/>
      <c r="Q32" s="173"/>
      <c r="R32" s="4">
        <v>0.7</v>
      </c>
      <c r="S32" s="4">
        <v>0.5</v>
      </c>
      <c r="T32" s="4">
        <v>0.3</v>
      </c>
    </row>
    <row r="33" spans="14:29" x14ac:dyDescent="0.25">
      <c r="N33" s="171" t="s">
        <v>17</v>
      </c>
      <c r="O33" s="172"/>
      <c r="P33" s="172"/>
      <c r="Q33" s="173"/>
      <c r="R33" s="4">
        <v>0.7</v>
      </c>
      <c r="S33" s="4">
        <v>0.5</v>
      </c>
      <c r="T33" s="4">
        <v>0.3</v>
      </c>
    </row>
    <row r="34" spans="14:29" x14ac:dyDescent="0.25">
      <c r="N34" s="171" t="s">
        <v>19</v>
      </c>
      <c r="O34" s="172"/>
      <c r="P34" s="172"/>
      <c r="Q34" s="173"/>
      <c r="R34" s="4">
        <v>0.7</v>
      </c>
      <c r="S34" s="4">
        <v>0.7</v>
      </c>
      <c r="T34" s="4">
        <v>0.6</v>
      </c>
    </row>
    <row r="35" spans="14:29" x14ac:dyDescent="0.25">
      <c r="N35" s="171" t="s">
        <v>20</v>
      </c>
      <c r="O35" s="172"/>
      <c r="P35" s="172"/>
      <c r="Q35" s="173"/>
      <c r="R35" s="4">
        <v>0.7</v>
      </c>
      <c r="S35" s="4">
        <v>0.7</v>
      </c>
      <c r="T35" s="4">
        <v>0.6</v>
      </c>
    </row>
    <row r="36" spans="14:29" ht="18.75" customHeight="1" x14ac:dyDescent="0.25">
      <c r="N36" s="171" t="s">
        <v>21</v>
      </c>
      <c r="O36" s="172"/>
      <c r="P36" s="172"/>
      <c r="Q36" s="173"/>
      <c r="R36" s="4">
        <v>1</v>
      </c>
      <c r="S36" s="4">
        <v>0.9</v>
      </c>
      <c r="T36" s="4">
        <v>0.8</v>
      </c>
      <c r="AC36" s="61"/>
    </row>
    <row r="37" spans="14:29" ht="18.75" customHeight="1" x14ac:dyDescent="0.25">
      <c r="N37" s="171" t="s">
        <v>274</v>
      </c>
      <c r="O37" s="172"/>
      <c r="P37" s="172"/>
      <c r="Q37" s="173"/>
      <c r="R37" s="47">
        <v>0.7</v>
      </c>
      <c r="S37" s="47">
        <v>0.7</v>
      </c>
      <c r="T37" s="47">
        <v>0.6</v>
      </c>
      <c r="AC37" s="61"/>
    </row>
    <row r="38" spans="14:29" x14ac:dyDescent="0.25">
      <c r="N38" s="171" t="s">
        <v>22</v>
      </c>
      <c r="O38" s="172"/>
      <c r="P38" s="172"/>
      <c r="Q38" s="173"/>
      <c r="R38" s="47">
        <v>0.7</v>
      </c>
      <c r="S38" s="47">
        <v>0.5</v>
      </c>
      <c r="T38" s="47">
        <v>0.3</v>
      </c>
    </row>
    <row r="39" spans="14:29" ht="15" customHeight="1" x14ac:dyDescent="0.25">
      <c r="N39" s="171" t="s">
        <v>23</v>
      </c>
      <c r="O39" s="172"/>
      <c r="P39" s="172"/>
      <c r="Q39" s="173"/>
      <c r="R39" s="4">
        <v>0</v>
      </c>
      <c r="S39" s="4">
        <v>0</v>
      </c>
      <c r="T39" s="4">
        <v>0</v>
      </c>
    </row>
    <row r="40" spans="14:29" ht="15" customHeight="1" x14ac:dyDescent="0.25">
      <c r="N40" s="171" t="s">
        <v>24</v>
      </c>
      <c r="O40" s="172"/>
      <c r="P40" s="172"/>
      <c r="Q40" s="173"/>
      <c r="R40" s="47">
        <v>0.6</v>
      </c>
      <c r="S40" s="47">
        <v>0.2</v>
      </c>
      <c r="T40" s="4">
        <v>0</v>
      </c>
    </row>
    <row r="41" spans="14:29" ht="15" customHeight="1" x14ac:dyDescent="0.25">
      <c r="N41" s="171" t="s">
        <v>275</v>
      </c>
      <c r="O41" s="172"/>
      <c r="P41" s="172"/>
      <c r="Q41" s="173"/>
      <c r="R41" s="47">
        <v>0.5</v>
      </c>
      <c r="S41" s="47">
        <v>0.2</v>
      </c>
      <c r="T41" s="4">
        <v>0</v>
      </c>
    </row>
    <row r="42" spans="14:29" ht="15" customHeight="1" x14ac:dyDescent="0.25">
      <c r="N42" s="171" t="s">
        <v>276</v>
      </c>
      <c r="O42" s="172"/>
      <c r="P42" s="172"/>
      <c r="Q42" s="173"/>
      <c r="R42" s="47">
        <v>0.7</v>
      </c>
      <c r="S42" s="47">
        <v>0.5</v>
      </c>
      <c r="T42" s="4">
        <v>0</v>
      </c>
    </row>
    <row r="43" spans="14:29" ht="15" customHeight="1" x14ac:dyDescent="0.25">
      <c r="N43" s="171" t="s">
        <v>25</v>
      </c>
      <c r="O43" s="172"/>
      <c r="P43" s="172"/>
      <c r="Q43" s="173"/>
      <c r="R43" s="47">
        <v>0.6</v>
      </c>
      <c r="S43" s="47">
        <v>0.5</v>
      </c>
      <c r="T43" s="4">
        <v>0</v>
      </c>
    </row>
    <row r="64" ht="15" customHeight="1" x14ac:dyDescent="0.25"/>
    <row r="65" ht="15" customHeight="1" x14ac:dyDescent="0.25"/>
    <row r="67" ht="18"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7" ht="18"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120" spans="28:28" x14ac:dyDescent="0.25">
      <c r="AB120" s="33"/>
    </row>
  </sheetData>
  <mergeCells count="50">
    <mergeCell ref="U28:W28"/>
    <mergeCell ref="N43:Q43"/>
    <mergeCell ref="U29:W29"/>
    <mergeCell ref="N31:Q31"/>
    <mergeCell ref="N30:T30"/>
    <mergeCell ref="N38:Q38"/>
    <mergeCell ref="N39:Q39"/>
    <mergeCell ref="N40:Q40"/>
    <mergeCell ref="N41:Q41"/>
    <mergeCell ref="N42:Q42"/>
    <mergeCell ref="N34:Q34"/>
    <mergeCell ref="N33:Q33"/>
    <mergeCell ref="N35:Q35"/>
    <mergeCell ref="N36:Q36"/>
    <mergeCell ref="N37:Q37"/>
    <mergeCell ref="AA14:AG15"/>
    <mergeCell ref="AI14:AP15"/>
    <mergeCell ref="N32:Q32"/>
    <mergeCell ref="C30:D30"/>
    <mergeCell ref="C31:D31"/>
    <mergeCell ref="C32:D32"/>
    <mergeCell ref="C24:F24"/>
    <mergeCell ref="H24:K24"/>
    <mergeCell ref="C29:D29"/>
    <mergeCell ref="J20:K20"/>
    <mergeCell ref="N21:R21"/>
    <mergeCell ref="N22:R22"/>
    <mergeCell ref="U21:X21"/>
    <mergeCell ref="C23:F23"/>
    <mergeCell ref="H23:K23"/>
    <mergeCell ref="N23:R23"/>
    <mergeCell ref="J19:K19"/>
    <mergeCell ref="K3:Q4"/>
    <mergeCell ref="Q25:S25"/>
    <mergeCell ref="N15:P15"/>
    <mergeCell ref="J16:K16"/>
    <mergeCell ref="N16:P16"/>
    <mergeCell ref="J17:K17"/>
    <mergeCell ref="N17:P17"/>
    <mergeCell ref="X14:Y14"/>
    <mergeCell ref="U25:W25"/>
    <mergeCell ref="Q27:S27"/>
    <mergeCell ref="N14:Q14"/>
    <mergeCell ref="S14:U14"/>
    <mergeCell ref="S15:U15"/>
    <mergeCell ref="S18:U18"/>
    <mergeCell ref="U22:V22"/>
    <mergeCell ref="U23:V23"/>
    <mergeCell ref="U24:V24"/>
    <mergeCell ref="U27:X27"/>
  </mergeCell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Carichi unitari</vt:lpstr>
      <vt:lpstr>Dati (CD"A")</vt:lpstr>
      <vt:lpstr>Forze Orizzontali CD"A"</vt:lpstr>
      <vt:lpstr>Campate  CD"A"</vt:lpstr>
      <vt:lpstr> Pilastri CD"A"</vt:lpstr>
      <vt:lpstr>Dimensionamento CD"A"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2016-11-11T16:43:12Z</cp:lastPrinted>
  <dcterms:created xsi:type="dcterms:W3CDTF">2015-12-09T08:49:50Z</dcterms:created>
  <dcterms:modified xsi:type="dcterms:W3CDTF">2017-03-12T11:08:47Z</dcterms:modified>
</cp:coreProperties>
</file>